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Ac8PzDmGZyxb6kV9tuUmy9ZgO/9PSP0iWdocLWZAg5BIbp/4l3q77TX2oYzE0uQEn4keHFdn/gWP/yS8m9jTbw==" workbookSaltValue="FZ/yaewvLURvSdkZBXhn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V12" i="16"/>
  <c r="BV9" i="16"/>
  <c r="T13" i="16"/>
  <c r="AA17" i="16"/>
  <c r="T16" i="11"/>
  <c r="Q17" i="17"/>
  <c r="BI9" i="11"/>
  <c r="S10" i="17"/>
  <c r="Q15" i="17"/>
  <c r="BF15" i="11"/>
  <c r="BM9" i="11"/>
  <c r="BH12" i="16"/>
  <c r="BK10" i="11"/>
  <c r="T13" i="20"/>
  <c r="BF15" i="8"/>
  <c r="BF9" i="8"/>
  <c r="AU18" i="21"/>
  <c r="S15" i="17"/>
  <c r="AH13" i="16"/>
  <c r="S16" i="17"/>
  <c r="L12" i="2"/>
  <c r="L17" i="2"/>
  <c r="X10" i="21"/>
  <c r="X15" i="16"/>
  <c r="X18" i="16" s="1"/>
  <c r="U9" i="17"/>
  <c r="U19" i="17" s="1"/>
  <c r="V10" i="16"/>
  <c r="L9" i="2"/>
  <c r="AP13" i="16"/>
  <c r="V9" i="16"/>
  <c r="T18" i="17"/>
  <c r="BG15" i="13"/>
  <c r="BE16" i="13"/>
  <c r="BE15" i="13"/>
  <c r="AX20" i="20"/>
  <c r="S19" i="8" l="1"/>
  <c r="B18" i="7"/>
  <c r="AB13" i="21"/>
  <c r="C12" i="14"/>
  <c r="K12" i="14" s="1"/>
  <c r="BG10" i="8"/>
  <c r="B9" i="6"/>
  <c r="L16" i="2"/>
  <c r="L15" i="2"/>
  <c r="L10" i="2"/>
  <c r="BL16" i="11"/>
  <c r="BJ16" i="11"/>
  <c r="AQ12" i="21"/>
  <c r="BH16" i="11"/>
  <c r="BM17" i="11"/>
  <c r="BH10" i="16"/>
  <c r="AQ10" i="21"/>
  <c r="BH10" i="11"/>
  <c r="BG12" i="11"/>
  <c r="AZ12" i="11"/>
  <c r="BU16" i="17"/>
  <c r="BW10" i="20"/>
  <c r="BW12" i="20"/>
  <c r="BU11" i="17"/>
  <c r="BK17" i="11"/>
  <c r="BJ12" i="11"/>
  <c r="BM12" i="11"/>
  <c r="BF10" i="11"/>
  <c r="BM16" i="11"/>
  <c r="BH11" i="16"/>
  <c r="AL16" i="11"/>
  <c r="C16" i="6"/>
  <c r="BE9" i="13"/>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9" i="2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17"/>
  <c r="AR20" i="20"/>
  <c r="AD20" i="16"/>
  <c r="BK20" i="16"/>
  <c r="AR20" i="11"/>
  <c r="AN20" i="16"/>
  <c r="O20" i="11"/>
  <c r="AS20" i="11"/>
  <c r="L20" i="17"/>
  <c r="S20" i="17"/>
  <c r="E20" i="17"/>
  <c r="BE20" i="16"/>
  <c r="M20" i="11"/>
  <c r="J20" i="12"/>
  <c r="BJ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S20" i="11"/>
  <c r="M20" i="21"/>
  <c r="F20" i="21"/>
  <c r="E20" i="16"/>
  <c r="P20" i="21"/>
  <c r="AJ20" i="16"/>
  <c r="AB20" i="21"/>
  <c r="F20" i="16"/>
  <c r="AV20" i="11"/>
  <c r="K20" i="17"/>
  <c r="P20" i="11"/>
  <c r="AB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<sst xmlns="http://schemas.openxmlformats.org/spreadsheetml/2006/main" count="2102" uniqueCount="917">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</sst>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ilI1X31Hp+dLlOJC75Y21cVU6exRGuK/qko/rpBGX59wO2dnpBnBi13Jer/yAoOQj8j5iBNEGDQz3405X3qVg==" saltValue="HLFoq/jxsjOf3jpq35hJ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4</v>
      </c>
      <c r="E10" s="226">
        <f>IF(ISNUMBER(Datos!J10),Datos!J10," - ")</f>
        <v>2</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24.552000000000003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4</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125</v>
      </c>
      <c r="D16" s="225">
        <f>IF(ISNUMBER(IF(D_I="SI",Datos!I16,Datos!I16+Datos!AC16)),IF(D_I="SI",Datos!I16,Datos!I16+Datos!AC16)," - ")</f>
        <v>118</v>
      </c>
      <c r="E16" s="226">
        <f>IF(ISNUMBER(IF(D_I="SI",Datos!J16,Datos!J16+Datos!AD16)),IF(D_I="SI",Datos!J16,Datos!J16+Datos!AD16)," - ")</f>
        <v>178</v>
      </c>
      <c r="F16" s="226">
        <f>IF(ISNUMBER(IF(D_I="SI",Datos!K16,Datos!K16+Datos!AE16)),IF(D_I="SI",Datos!K16,Datos!K16+Datos!AE16)," - ")</f>
        <v>187</v>
      </c>
      <c r="G16" s="1034" t="str">
        <f>IF(Datos!E16&lt;&gt;"",Datos!E16,Datos!D16)</f>
        <v>04</v>
      </c>
      <c r="H16" s="227">
        <f>IF(ISNUMBER(IF(D_I="SI",Datos!L16,Datos!L16+Datos!AF16)),IF(D_I="SI",Datos!L16,Datos!L16+Datos!AF16)," - ")</f>
        <v>116</v>
      </c>
      <c r="I16" s="1044" t="str">
        <f>IF(ISNUMBER(Datos!AS16/Datos!BM16),Datos!AS16/Datos!BM16," - ")</f>
        <v xml:space="preserve"> - </v>
      </c>
      <c r="J16" s="1045">
        <f>IF(ISNUMBER(Datos!BY16/Datos!CN16),Datos!BY16/Datos!CN16," - ")</f>
        <v>0</v>
      </c>
      <c r="K16" s="230">
        <f t="shared" si="3"/>
        <v>-7.1999999999999995E-2</v>
      </c>
      <c r="L16" s="1025">
        <f>IF(ISNUMBER(NºAsuntos!I16/NºAsuntos!G16),(NºAsuntos!I16/NºAsuntos!G16)*11," - ")</f>
        <v>6.8235294117647065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15</v>
      </c>
      <c r="E17" s="226">
        <f>IF(ISNUMBER(IF(D_I="SI",Datos!J17,Datos!J17+Datos!AD17)),IF(D_I="SI",Datos!J17,Datos!J17+Datos!AD17)," - ")</f>
        <v>1</v>
      </c>
      <c r="F17" s="226">
        <f>IF(ISNUMBER(IF(D_I="SI",Datos!K17,Datos!K17+Datos!AE17)),IF(D_I="SI",Datos!K17,Datos!K17+Datos!AE17)," - ")</f>
        <v>3</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25.666666666666668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134</v>
      </c>
      <c r="D18" s="1049">
        <f>SUBTOTAL(9,D15:D17)</f>
        <v>133</v>
      </c>
      <c r="E18" s="1050">
        <f>SUBTOTAL(9,E15:E17)</f>
        <v>179</v>
      </c>
      <c r="F18" s="1050">
        <f>SUBTOTAL(9,F15:F17)</f>
        <v>190</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137</v>
      </c>
      <c r="D19" s="1071">
        <f>SUBTOTAL(9,D9:D18)</f>
        <v>137</v>
      </c>
      <c r="E19" s="1072">
        <f>SUBTOTAL(9,E9:E18)</f>
        <v>181</v>
      </c>
      <c r="F19" s="1072">
        <f>SUBTOTAL(9,F9:F18)</f>
        <v>191</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hBjMt/uumX6z71NwXkPL/s0ZD5yw3NN63TUEpOIfoRK/iTVArp4GFNtEUCGtjJcTXtWDXotjbBudDhSrvV0DQ==" saltValue="DF1mq7OmvFs1giaMeQGN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rl3tPz20xOrJL1Yu+K1H1icGtRdQ8u2Qy9s9z/dX9NbuCd6ni8LfO50UCtw0iTjj0EIhLs3Y7qqgLxHLa5YOw==" saltValue="AXZl4g+DAlFfQC9ujVx7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1</v>
      </c>
      <c r="L10" s="181">
        <v>4</v>
      </c>
      <c r="M10" s="181">
        <v>1</v>
      </c>
      <c r="N10" s="181">
        <v>0</v>
      </c>
      <c r="O10" s="181">
        <v>0</v>
      </c>
      <c r="P10" s="181">
        <v>0</v>
      </c>
      <c r="Q10" s="181">
        <v>0</v>
      </c>
      <c r="R10" s="181">
        <v>0</v>
      </c>
      <c r="S10" s="181">
        <v>3</v>
      </c>
      <c r="T10" s="181">
        <v>2</v>
      </c>
      <c r="U10" s="181">
        <v>3</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3</v>
      </c>
      <c r="BB10" s="129">
        <f t="shared" si="0"/>
        <v>2</v>
      </c>
      <c r="BC10" s="125">
        <f t="shared" si="0"/>
        <v>0</v>
      </c>
      <c r="BD10" s="126">
        <f>IF(ISNUMBER(BA10/AZ10),BA10/AZ10," - ")</f>
        <v>1.5</v>
      </c>
      <c r="BE10" s="127">
        <f>IF(ISNUMBER(BB10/BA10),BB10/BA10, " - ")</f>
        <v>0.66666666666666663</v>
      </c>
      <c r="BF10" s="127">
        <f>IF(ISNUMBER(BC10/BA10),BC10/BA10, " - ")</f>
        <v>0</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286</v>
      </c>
      <c r="J12" s="183">
        <v>105</v>
      </c>
      <c r="K12" s="183">
        <v>119</v>
      </c>
      <c r="L12" s="183">
        <v>272</v>
      </c>
      <c r="M12" s="183">
        <v>31</v>
      </c>
      <c r="N12" s="183">
        <v>58</v>
      </c>
      <c r="O12" s="181">
        <v>40</v>
      </c>
      <c r="P12" s="183">
        <v>22</v>
      </c>
      <c r="Q12" s="183">
        <v>126</v>
      </c>
      <c r="R12" s="183">
        <v>378</v>
      </c>
      <c r="S12" s="183">
        <v>292</v>
      </c>
      <c r="T12" s="183">
        <v>89</v>
      </c>
      <c r="U12" s="183">
        <v>85</v>
      </c>
      <c r="V12" s="183">
        <v>296</v>
      </c>
      <c r="W12" s="183">
        <v>14</v>
      </c>
      <c r="X12" s="189">
        <v>43</v>
      </c>
      <c r="Y12" s="191">
        <v>5</v>
      </c>
      <c r="Z12" s="181">
        <v>8</v>
      </c>
      <c r="AA12" s="181">
        <v>6</v>
      </c>
      <c r="AB12" s="181">
        <v>7</v>
      </c>
      <c r="AC12" s="183">
        <v>0</v>
      </c>
      <c r="AD12" s="183">
        <v>0</v>
      </c>
      <c r="AE12" s="183">
        <v>0</v>
      </c>
      <c r="AF12" s="189">
        <v>0</v>
      </c>
      <c r="AG12" s="202">
        <v>7</v>
      </c>
      <c r="AH12" s="183">
        <v>5</v>
      </c>
      <c r="AI12" s="183">
        <v>1</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299</v>
      </c>
      <c r="AZ12" s="127">
        <f t="shared" si="1"/>
        <v>94</v>
      </c>
      <c r="BA12" s="127">
        <f t="shared" si="1"/>
        <v>86</v>
      </c>
      <c r="BB12" s="127">
        <f t="shared" si="1"/>
        <v>307</v>
      </c>
      <c r="BC12" s="125">
        <f>IF(ISNUMBER(X12),X12," - ")</f>
        <v>43</v>
      </c>
      <c r="BD12" s="126">
        <f t="shared" si="2"/>
        <v>0.91489361702127658</v>
      </c>
      <c r="BE12" s="127">
        <f t="shared" si="3"/>
        <v>3.5697674418604652</v>
      </c>
      <c r="BF12" s="127">
        <f t="shared" si="4"/>
        <v>0.5</v>
      </c>
      <c r="BG12" s="196">
        <f t="shared" si="5"/>
        <v>4.5697674418604652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290</v>
      </c>
      <c r="J13" s="184">
        <f t="shared" si="6"/>
        <v>107</v>
      </c>
      <c r="K13" s="184">
        <f t="shared" si="6"/>
        <v>120</v>
      </c>
      <c r="L13" s="184">
        <f t="shared" si="6"/>
        <v>276</v>
      </c>
      <c r="M13" s="184">
        <f t="shared" si="6"/>
        <v>32</v>
      </c>
      <c r="N13" s="184">
        <f t="shared" si="6"/>
        <v>58</v>
      </c>
      <c r="O13" s="184">
        <f t="shared" si="6"/>
        <v>40</v>
      </c>
      <c r="P13" s="184">
        <f t="shared" si="6"/>
        <v>22</v>
      </c>
      <c r="Q13" s="184">
        <f t="shared" si="6"/>
        <v>126</v>
      </c>
      <c r="R13" s="184">
        <f t="shared" si="6"/>
        <v>378</v>
      </c>
      <c r="S13" s="184">
        <f t="shared" si="6"/>
        <v>295</v>
      </c>
      <c r="T13" s="184">
        <f t="shared" si="6"/>
        <v>91</v>
      </c>
      <c r="U13" s="184">
        <f t="shared" si="6"/>
        <v>88</v>
      </c>
      <c r="V13" s="184">
        <f t="shared" si="6"/>
        <v>298</v>
      </c>
      <c r="W13" s="184">
        <f t="shared" si="6"/>
        <v>14</v>
      </c>
      <c r="X13" s="184">
        <f t="shared" si="6"/>
        <v>43</v>
      </c>
      <c r="Y13" s="184">
        <f t="shared" si="6"/>
        <v>5</v>
      </c>
      <c r="Z13" s="184">
        <f t="shared" si="6"/>
        <v>8</v>
      </c>
      <c r="AA13" s="184">
        <f t="shared" si="6"/>
        <v>6</v>
      </c>
      <c r="AB13" s="184">
        <f t="shared" si="6"/>
        <v>7</v>
      </c>
      <c r="AC13" s="184">
        <f t="shared" si="6"/>
        <v>0</v>
      </c>
      <c r="AD13" s="184">
        <f t="shared" si="6"/>
        <v>0</v>
      </c>
      <c r="AE13" s="184">
        <f t="shared" si="6"/>
        <v>0</v>
      </c>
      <c r="AF13" s="184">
        <f>SUBTOTAL(9,AF9:AF12)</f>
        <v>0</v>
      </c>
      <c r="AG13" s="184">
        <f t="shared" ref="AG13:AT13" si="7">SUBTOTAL(9,AG8:AG12)</f>
        <v>7</v>
      </c>
      <c r="AH13" s="184">
        <f t="shared" si="7"/>
        <v>5</v>
      </c>
      <c r="AI13" s="184">
        <f t="shared" si="7"/>
        <v>1</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302</v>
      </c>
      <c r="AZ13" s="184">
        <f>SUBTOTAL(9,AZ8:AZ12)</f>
        <v>96</v>
      </c>
      <c r="BA13" s="184">
        <f>SUBTOTAL(9,BA8:BA12)</f>
        <v>89</v>
      </c>
      <c r="BB13" s="184">
        <f>SUBTOTAL(9,BB8:BB12)</f>
        <v>309</v>
      </c>
      <c r="BC13" s="184">
        <f>SUBTOTAL(9,BC8:BC12)</f>
        <v>43</v>
      </c>
      <c r="BD13" s="205">
        <f>IF(ISNUMBER(BA13/AZ13),BA13/AZ13," - ")</f>
        <v>0.92708333333333337</v>
      </c>
      <c r="BE13" s="206">
        <f>IF(ISNUMBER(BB13/BA13),BB13/BA13, " - ")</f>
        <v>3.4719101123595504</v>
      </c>
      <c r="BF13" s="206">
        <f>IF(ISNUMBER(BC13/BA13),BC13/BA13, " - ")</f>
        <v>0.48314606741573035</v>
      </c>
      <c r="BG13" s="207">
        <f>IF(ISNUMBER((AY13+AZ13)/BA13),(AY13+AZ13)/BA13," - ")</f>
        <v>4.4719101123595504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118</v>
      </c>
      <c r="J16" s="183">
        <v>178</v>
      </c>
      <c r="K16" s="183">
        <v>187</v>
      </c>
      <c r="L16" s="183">
        <v>116</v>
      </c>
      <c r="M16" s="183">
        <v>11</v>
      </c>
      <c r="N16" s="183">
        <v>113</v>
      </c>
      <c r="O16" s="181">
        <v>0</v>
      </c>
      <c r="P16" s="183">
        <v>5</v>
      </c>
      <c r="Q16" s="183">
        <v>1</v>
      </c>
      <c r="R16" s="183">
        <v>13</v>
      </c>
      <c r="S16" s="183">
        <v>199</v>
      </c>
      <c r="T16" s="183">
        <v>150</v>
      </c>
      <c r="U16" s="183">
        <v>228</v>
      </c>
      <c r="V16" s="183">
        <v>129</v>
      </c>
      <c r="W16" s="183">
        <v>23</v>
      </c>
      <c r="X16" s="189">
        <v>159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199</v>
      </c>
      <c r="AZ16" s="127">
        <f t="shared" si="9"/>
        <v>150</v>
      </c>
      <c r="BA16" s="127">
        <f t="shared" si="9"/>
        <v>228</v>
      </c>
      <c r="BB16" s="127">
        <f t="shared" si="9"/>
        <v>129</v>
      </c>
      <c r="BC16" s="125">
        <f>IF(ISNUMBER(W16),W16," - ")</f>
        <v>23</v>
      </c>
      <c r="BD16" s="126">
        <f t="shared" ref="BD16" si="11">IF(ISNUMBER(BA16/AZ16),BA16/AZ16," - ")</f>
        <v>1.52</v>
      </c>
      <c r="BE16" s="127">
        <f t="shared" ref="BE16" si="12">IF(ISNUMBER(BB16/BA16),BB16/BA16, " - ")</f>
        <v>0.56578947368421051</v>
      </c>
      <c r="BF16" s="127">
        <f t="shared" ref="BF16" si="13">IF(ISNUMBER(BC16/BA16),BC16/BA16, " - ")</f>
        <v>0.10087719298245613</v>
      </c>
      <c r="BG16" s="196">
        <f t="shared" si="10"/>
        <v>1.5307017543859649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v>
      </c>
      <c r="K17" s="183">
        <v>3</v>
      </c>
      <c r="L17" s="183">
        <v>7</v>
      </c>
      <c r="M17" s="183">
        <v>0</v>
      </c>
      <c r="N17" s="183">
        <v>1</v>
      </c>
      <c r="O17" s="183">
        <v>0</v>
      </c>
      <c r="P17" s="183">
        <v>0</v>
      </c>
      <c r="Q17" s="183">
        <v>0</v>
      </c>
      <c r="R17" s="183">
        <v>0</v>
      </c>
      <c r="S17" s="183">
        <v>12</v>
      </c>
      <c r="T17" s="183">
        <v>1</v>
      </c>
      <c r="U17" s="183">
        <v>3</v>
      </c>
      <c r="V17" s="183">
        <v>10</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1</v>
      </c>
      <c r="BA17" s="129">
        <f t="shared" si="14"/>
        <v>3</v>
      </c>
      <c r="BB17" s="129">
        <f t="shared" si="14"/>
        <v>10</v>
      </c>
      <c r="BC17" s="125">
        <f>IF(ISNUMBER(W17),W17," - ")</f>
        <v>0</v>
      </c>
      <c r="BD17" s="126">
        <f>IF(ISNUMBER(BA17/AZ17),BA17/AZ17," - ")</f>
        <v>3</v>
      </c>
      <c r="BE17" s="127">
        <f>IF(ISNUMBER(BB17/BA17),BB17/BA17, " - ")</f>
        <v>3.3333333333333335</v>
      </c>
      <c r="BF17" s="127">
        <f>IF(ISNUMBER(BC17/BA17),BC17/BA17, " - ")</f>
        <v>0</v>
      </c>
      <c r="BG17" s="196">
        <f>IF(ISNUMBER((AY17+AZ17)/BA17),(AY17+AZ17)/BA17," - ")</f>
        <v>4.333333333333333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133</v>
      </c>
      <c r="J18" s="184">
        <f t="shared" si="15"/>
        <v>179</v>
      </c>
      <c r="K18" s="184">
        <f t="shared" si="15"/>
        <v>190</v>
      </c>
      <c r="L18" s="184">
        <f t="shared" si="15"/>
        <v>123</v>
      </c>
      <c r="M18" s="184">
        <f t="shared" si="15"/>
        <v>11</v>
      </c>
      <c r="N18" s="184">
        <f t="shared" si="15"/>
        <v>114</v>
      </c>
      <c r="O18" s="184">
        <f t="shared" si="15"/>
        <v>0</v>
      </c>
      <c r="P18" s="184">
        <f t="shared" si="15"/>
        <v>5</v>
      </c>
      <c r="Q18" s="184">
        <f t="shared" si="15"/>
        <v>1</v>
      </c>
      <c r="R18" s="184">
        <f t="shared" si="15"/>
        <v>13</v>
      </c>
      <c r="S18" s="184">
        <f t="shared" si="15"/>
        <v>211</v>
      </c>
      <c r="T18" s="184">
        <f t="shared" si="15"/>
        <v>151</v>
      </c>
      <c r="U18" s="184">
        <f t="shared" si="15"/>
        <v>231</v>
      </c>
      <c r="V18" s="184">
        <f t="shared" si="15"/>
        <v>139</v>
      </c>
      <c r="W18" s="184">
        <f t="shared" si="15"/>
        <v>23</v>
      </c>
      <c r="X18" s="184">
        <f t="shared" si="15"/>
        <v>161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211</v>
      </c>
      <c r="AZ18" s="184">
        <f>SUBTOTAL(9,AZ14:AZ17)</f>
        <v>151</v>
      </c>
      <c r="BA18" s="184">
        <f>SUBTOTAL(9,BA14:BA17)</f>
        <v>231</v>
      </c>
      <c r="BB18" s="184">
        <f>SUBTOTAL(9,BB14:BB17)</f>
        <v>139</v>
      </c>
      <c r="BC18" s="184">
        <f>SUBTOTAL(9,BC14:BC17)</f>
        <v>23</v>
      </c>
      <c r="BD18" s="205">
        <f>IF(ISNUMBER(BA18/AZ18),BA18/AZ18," - ")</f>
        <v>1.5298013245033113</v>
      </c>
      <c r="BE18" s="206">
        <f>IF(ISNUMBER(BB18/BA18),BB18/BA18, " - ")</f>
        <v>0.60173160173160178</v>
      </c>
      <c r="BF18" s="206">
        <f>IF(ISNUMBER(BC18/BA18),BC18/BA18, " - ")</f>
        <v>9.9567099567099568E-2</v>
      </c>
      <c r="BG18" s="207">
        <f>IF(ISNUMBER((AY18+AZ18)/BA18),(AY18+AZ18)/BA18," - ")</f>
        <v>1.5670995670995671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423</v>
      </c>
      <c r="J19" s="134">
        <f t="shared" si="18"/>
        <v>286</v>
      </c>
      <c r="K19" s="134">
        <f t="shared" si="18"/>
        <v>310</v>
      </c>
      <c r="L19" s="134">
        <f t="shared" si="18"/>
        <v>399</v>
      </c>
      <c r="M19" s="134">
        <f t="shared" si="18"/>
        <v>43</v>
      </c>
      <c r="N19" s="134">
        <f t="shared" si="18"/>
        <v>172</v>
      </c>
      <c r="O19" s="134">
        <f t="shared" si="18"/>
        <v>40</v>
      </c>
      <c r="P19" s="134">
        <f t="shared" si="18"/>
        <v>27</v>
      </c>
      <c r="Q19" s="134">
        <f t="shared" si="18"/>
        <v>127</v>
      </c>
      <c r="R19" s="134">
        <f t="shared" si="18"/>
        <v>391</v>
      </c>
      <c r="S19" s="134">
        <f t="shared" si="18"/>
        <v>506</v>
      </c>
      <c r="T19" s="134">
        <f t="shared" si="18"/>
        <v>242</v>
      </c>
      <c r="U19" s="134">
        <f t="shared" si="18"/>
        <v>319</v>
      </c>
      <c r="V19" s="134">
        <f t="shared" si="18"/>
        <v>437</v>
      </c>
      <c r="W19" s="134">
        <f t="shared" si="18"/>
        <v>37</v>
      </c>
      <c r="X19" s="134">
        <f t="shared" si="18"/>
        <v>204</v>
      </c>
      <c r="Y19" s="134">
        <f t="shared" si="18"/>
        <v>5</v>
      </c>
      <c r="Z19" s="134">
        <f t="shared" si="18"/>
        <v>8</v>
      </c>
      <c r="AA19" s="134">
        <f t="shared" si="18"/>
        <v>6</v>
      </c>
      <c r="AB19" s="134">
        <f t="shared" si="18"/>
        <v>7</v>
      </c>
      <c r="AC19" s="134">
        <f t="shared" si="18"/>
        <v>0</v>
      </c>
      <c r="AD19" s="134">
        <f t="shared" si="18"/>
        <v>0</v>
      </c>
      <c r="AE19" s="134">
        <f t="shared" si="18"/>
        <v>0</v>
      </c>
      <c r="AF19" s="134">
        <f t="shared" si="18"/>
        <v>0</v>
      </c>
      <c r="AG19" s="134">
        <f t="shared" si="18"/>
        <v>7</v>
      </c>
      <c r="AH19" s="134">
        <f t="shared" si="18"/>
        <v>5</v>
      </c>
      <c r="AI19" s="134">
        <f t="shared" si="18"/>
        <v>1</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513</v>
      </c>
      <c r="AZ19" s="134">
        <f>SUBTOTAL(9,AZ9:AZ18)</f>
        <v>247</v>
      </c>
      <c r="BA19" s="134">
        <f>SUBTOTAL(9,BA9:BA18)</f>
        <v>320</v>
      </c>
      <c r="BB19" s="134">
        <f>SUBTOTAL(9,BB9:BB18)</f>
        <v>448</v>
      </c>
      <c r="BC19" s="135">
        <f>SUBTOTAL(9,BC9:BC18)</f>
        <v>66</v>
      </c>
      <c r="BD19" s="213">
        <f>IF(ISNUMBER(BA19/AZ19),BA19/AZ19," - ")</f>
        <v>1.2955465587044535</v>
      </c>
      <c r="BE19" s="210">
        <f>IF(ISNUMBER(BB19/BA19),BB19/BA19, " - ")</f>
        <v>1.4</v>
      </c>
      <c r="BF19" s="210">
        <f>IF(ISNUMBER(BC19/BA19),BC19/BA19, " - ")</f>
        <v>0.20624999999999999</v>
      </c>
      <c r="BG19" s="135">
        <f>IF(ISNUMBER((AY19+AZ19)/BA19),(AY19+AZ19)/BA19," - ")</f>
        <v>2.375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rXHFC27SOep976kCZ+q+vPJinp2dGYvKKv03OLo4/IDwa+IRXDpvnF7LEcexGM/Osn1gRG1LD2HpT7ohg4D3g==" saltValue="GxWh77l5GRgscSE25TwA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6oZOVvkPlhSJYl+LB67RCFw7mhWgnMqft93QmFEUflaVpaoC4smuGJ+OBn19U5a3wVm2sFR+E/jwYPXy2KXQ==" saltValue="xP3rgWNOzpXDUYM+1vWZ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378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1.1061946902654867</v>
      </c>
      <c r="BH12" s="260">
        <f>IF(ISNUMBER(((IF(J_V="SI",Datos!L12/Datos!K12,(Datos!L12+Datos!AB12)/(Datos!K12+Datos!AA12)))*11)/factor_trimestre),((IF(J_V="SI",Datos!L12/Datos!K12,(Datos!L12+Datos!AB12)/(Datos!K12+Datos!AA12)))*11)/factor_trimestre," - ")</f>
        <v>6.6960000000000015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-0.21576763485477179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4</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126</v>
      </c>
      <c r="AD13" s="899">
        <f t="shared" si="1"/>
        <v>0</v>
      </c>
      <c r="AE13" s="899">
        <f t="shared" si="1"/>
        <v>0</v>
      </c>
      <c r="AF13" s="899">
        <f t="shared" si="1"/>
        <v>4</v>
      </c>
      <c r="AG13" s="899">
        <f t="shared" si="1"/>
        <v>0</v>
      </c>
      <c r="AH13" s="899">
        <f t="shared" si="1"/>
        <v>7</v>
      </c>
      <c r="AI13" s="899">
        <f t="shared" si="1"/>
        <v>0</v>
      </c>
      <c r="AJ13" s="899">
        <f t="shared" si="1"/>
        <v>0</v>
      </c>
      <c r="AK13" s="899">
        <f t="shared" si="1"/>
        <v>0</v>
      </c>
      <c r="AL13" s="899">
        <f t="shared" si="1"/>
        <v>0</v>
      </c>
      <c r="AM13" s="899">
        <f t="shared" si="1"/>
        <v>378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v>
      </c>
      <c r="BD13" s="899">
        <f t="shared" si="1"/>
        <v>58</v>
      </c>
      <c r="BE13" s="899">
        <f t="shared" si="1"/>
        <v>0</v>
      </c>
      <c r="BF13" s="899">
        <f t="shared" si="1"/>
        <v>0</v>
      </c>
      <c r="BG13" s="899">
        <f>IF(ISNUMBER(Datos!K13/Datos!J13),Datos!K13/Datos!J13," - ")</f>
        <v>1.1214953271028036</v>
      </c>
      <c r="BH13" s="903">
        <f>IF(ISNUMBER(((Datos!L13/Datos!K13)*11)/factor_trimestre),((Datos!L13/Datos!K13)*11)/factor_trimestre," - ")</f>
        <v>6.8999999999999995</v>
      </c>
      <c r="BI13" s="899">
        <f>IF(ISNUMBER('Resol  Asuntos'!D13/NºAsuntos!G13),'Resol  Asuntos'!D13/NºAsuntos!G13," - ")</f>
        <v>0.25396825396825395</v>
      </c>
      <c r="BJ13" s="899" t="str">
        <f>IF(ISNUMBER(Datos!CI13/Datos!CJ13),Datos!CI13/Datos!CJ13," - ")</f>
        <v xml:space="preserve"> - </v>
      </c>
      <c r="BK13" s="899">
        <f>SUBTOTAL(9,BK8:BK12)</f>
        <v>0</v>
      </c>
      <c r="BL13" s="899">
        <f>IF(ISNUMBER((I13-AB13+L13)/(F13)),(I13-AB13+L13)/(F13)," - ")</f>
        <v>-0.33333333333333331</v>
      </c>
      <c r="BM13" s="904">
        <f>SUBTOTAL(9,BM9:BM12)</f>
        <v>-0.21576763485477179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125</v>
      </c>
      <c r="G16" s="598">
        <f>IF(ISNUMBER(IF(D_I="SI",Datos!I16,Datos!I16+Datos!AC16)),IF(D_I="SI",Datos!I16,Datos!I16+Datos!AC16)," - ")</f>
        <v>118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187</v>
      </c>
      <c r="AC16" s="226">
        <f>IF(ISNUMBER(Datos!Q16),Datos!Q16," - ")</f>
        <v>1</v>
      </c>
      <c r="AD16" s="334"/>
      <c r="AE16" s="484"/>
      <c r="AF16" s="596">
        <f>IF(ISNUMBER(IF(D_I="SI",Datos!L16,Datos!L16+Datos!AF16)),IF(D_I="SI",Datos!L16,Datos!L16+Datos!AF16)," - ")</f>
        <v>116</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113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1.050561797752809</v>
      </c>
      <c r="BH16" s="260">
        <f>IF(ISNUMBER(((IF(D_I="SI",Datos!L16/Datos!K16,(Datos!L16+Datos!AF16)/(Datos!K16+Datos!AE16)))*11)/factor_trimestre),((IF(D_I="SI",Datos!L16/Datos!K16,(Datos!L16+Datos!AF16)/(Datos!K16+Datos!AE16)))*11)/factor_trimestre," - ")</f>
        <v>1.8609625668449201</v>
      </c>
      <c r="BI16" s="243">
        <f>IF(ISNUMBER('Resol  Asuntos'!D16/NºAsuntos!G16),'Resol  Asuntos'!D16/NºAsuntos!G16," - ")</f>
        <v>5.8823529411764705E-2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7.0000000000000009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125</v>
      </c>
      <c r="G18" s="898">
        <f>SUBTOTAL(9,G15:G17)</f>
        <v>133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190</v>
      </c>
      <c r="AC18" s="899">
        <f t="shared" si="4"/>
        <v>1</v>
      </c>
      <c r="AD18" s="899">
        <f t="shared" si="4"/>
        <v>0</v>
      </c>
      <c r="AE18" s="899">
        <f t="shared" si="4"/>
        <v>0</v>
      </c>
      <c r="AF18" s="899">
        <f t="shared" si="4"/>
        <v>123</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114</v>
      </c>
      <c r="BE18" s="899">
        <f t="shared" si="4"/>
        <v>0</v>
      </c>
      <c r="BF18" s="899">
        <f t="shared" si="4"/>
        <v>0</v>
      </c>
      <c r="BG18" s="899">
        <f>IF(ISNUMBER(Datos!K18/Datos!J18),Datos!K18/Datos!J18," - ")</f>
        <v>1.0614525139664805</v>
      </c>
      <c r="BH18" s="903">
        <f>IF(ISNUMBER(((Datos!L18/Datos!K18)*11)/factor_trimestre),((Datos!L18/Datos!K18)*11)/factor_trimestre," - ")</f>
        <v>1.942105263157895</v>
      </c>
      <c r="BI18" s="899">
        <f>SUBTOTAL(9,BI15:BI17)</f>
        <v>5.8823529411764705E-2</v>
      </c>
      <c r="BJ18" s="899">
        <f>SUBTOTAL(9,BJ15:BJ17)</f>
        <v>0</v>
      </c>
      <c r="BK18" s="899">
        <f>SUBTOTAL(9,BK15:BK17)</f>
        <v>0</v>
      </c>
      <c r="BL18" s="899">
        <f>IF(ISNUMBER((I18-AB18+L18)/(F18)),(I18-AB18+L18)/(F18)," - ")</f>
        <v>-1.52</v>
      </c>
      <c r="BM18" s="905">
        <f>IF(ISNUMBER((Datos!P18-Datos!Q18)/(Datos!R18-Datos!P18+Datos!Q18)),(Datos!P18-Datos!Q18)/(Datos!R18-Datos!P18+Datos!Q18)," - ")</f>
        <v>0.44444444444444442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128</v>
      </c>
      <c r="G19" s="820">
        <f t="shared" si="6"/>
        <v>137</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v>
      </c>
      <c r="AC19" s="821">
        <f t="shared" si="7"/>
        <v>127</v>
      </c>
      <c r="AD19" s="821">
        <f t="shared" si="7"/>
        <v>0</v>
      </c>
      <c r="AE19" s="821">
        <f t="shared" si="7"/>
        <v>0</v>
      </c>
      <c r="AF19" s="828">
        <f t="shared" si="7"/>
        <v>127</v>
      </c>
      <c r="AG19" s="828">
        <f t="shared" si="7"/>
        <v>0</v>
      </c>
      <c r="AH19" s="828">
        <f t="shared" si="7"/>
        <v>7</v>
      </c>
      <c r="AI19" s="828">
        <f t="shared" si="7"/>
        <v>0</v>
      </c>
      <c r="AJ19" s="821">
        <f t="shared" si="7"/>
        <v>0</v>
      </c>
      <c r="AK19" s="828">
        <f t="shared" si="7"/>
        <v>0</v>
      </c>
      <c r="AL19" s="828">
        <f t="shared" si="7"/>
        <v>0</v>
      </c>
      <c r="AM19" s="828">
        <f t="shared" si="7"/>
        <v>391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v>
      </c>
      <c r="BD19" s="820">
        <f t="shared" si="7"/>
        <v>172</v>
      </c>
      <c r="BE19" s="820">
        <f t="shared" si="7"/>
        <v>0</v>
      </c>
      <c r="BF19" s="830">
        <f t="shared" si="7"/>
        <v>0</v>
      </c>
      <c r="BG19" s="915">
        <f>IF(ISNUMBER(Datos!K19/Datos!J19),Datos!K19/Datos!J19," - ")</f>
        <v>1.083916083916084</v>
      </c>
      <c r="BH19" s="915">
        <f>IF(ISNUMBER(((Datos!L19/Datos!K19)*11)/factor_trimestre),((Datos!L19/Datos!K19)*11)/factor_trimestre," - ")</f>
        <v>3.8612903225806452</v>
      </c>
      <c r="BI19" s="813">
        <f>IF(ISNUMBER(Datos!J19/Datos!I19),Datos!J19/Datos!I19," - ")</f>
        <v>0.67612293144208035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-1.4921875</v>
      </c>
      <c r="BM19" s="889">
        <f>IF(ISNUMBER((Datos!P19-Datos!Q19+R19)/(Datos!R19-Datos!P19+Datos!Q19-R19)),(Datos!P19-Datos!Q19+R19)/(Datos!R19-Datos!P19+Datos!Q19-R19)," - ")</f>
        <v>-0.20366598778004075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70.436732841134344</v>
      </c>
      <c r="G21" s="552">
        <f>IF(ISNUMBER(STDEV(G8:G18)),STDEV(G8:G18),"-")</f>
        <v>64.91301872506007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102.3415849007626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14.109098719148104</v>
      </c>
      <c r="BD21" s="551"/>
      <c r="BE21" s="551">
        <f>IF(ISNUMBER(STDEV(BE8:BE18)),STDEV(BE8:BE18),"-")</f>
        <v>0</v>
      </c>
      <c r="BF21" s="556">
        <f>IF(ISNUMBER(STDEV(BF8:BF18)),STDEV(BF8:BF18),"-")</f>
        <v>0</v>
      </c>
      <c r="BG21" s="775">
        <f>IF(ISNUMBER(STDEV(BG8:BG18)),STDEV(BG8:BG18),"-")</f>
        <v>0.86235561077812883</v>
      </c>
      <c r="BH21" s="776">
        <f>IF(ISNUMBER(STDEV(BH8:BH18)),STDEV(BH8:BH18),"-")</f>
        <v>3.7912007081185419</v>
      </c>
      <c r="BI21" s="249">
        <f>IF(ISNUMBER(STDEV(BI8:BI18)),STDEV(BI8:BI18),"-")</f>
        <v>0.11089905931861832</v>
      </c>
      <c r="BJ21" s="230" t="str">
        <f>IF(ISNUMBER(BL21/BM21),BL21/BM21," - ")</f>
        <v xml:space="preserve"> - </v>
      </c>
      <c r="BK21" s="575"/>
      <c r="BL21" s="559">
        <f>IF(ISNUMBER(STDEV(BL8:BL18)),STDEV(BL8:BL18),"-")</f>
        <v>0.83910004700803642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FayFu1OeRpIdhzGdyfwwGfYVtfkNvvS760z5qFPKpIesLmr8iiKtsXIhFEQW3TeTzZeIXh9ETXkPPgpLSWBCg==" saltValue="z1p3C/2KWQdAsboZswiV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126</v>
      </c>
      <c r="AA12" s="332" t="str">
        <f>IF(ISNUMBER(IF(J_V="SI",Datos!L12,Datos!L12+Datos!AB12)-IF(Monitorios="SI",Datos!CD12,0)),
                          IF(J_V="SI",Datos!L12,Datos!L12+Datos!AB12)-IF(Monitorios="SI",Datos!CD12,0),
                          " - ")</f>
        <v xml:space="preserve"> - </v>
      </c>
      <c r="AB12" s="334"/>
      <c r="AC12" s="334"/>
      <c r="AD12" s="484"/>
      <c r="AE12" s="484">
        <f>IF(ISNUMBER(Datos!R12),Datos!R12," - ")</f>
        <v>378</v>
      </c>
      <c r="AF12" s="229" t="str">
        <f>IF(ISNUMBER(Datos!BV12),Datos!BV12," - ")</f>
        <v xml:space="preserve"> - </v>
      </c>
      <c r="AG12" s="225" t="str">
        <f>IF(ISNUMBER(Datos!DV12),Datos!DV12," - ")</f>
        <v xml:space="preserve"> - </v>
      </c>
      <c r="AH12" s="298"/>
      <c r="AI12" s="227"/>
      <c r="AJ12" s="225">
        <f>IF(ISNUMBER(Datos!M12),Datos!M12," - ")</f>
        <v>31</v>
      </c>
      <c r="AK12" s="229">
        <f>IF(ISNUMBER(Datos!N12),Datos!N12," - ")</f>
        <v>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6.6960000000000015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-0.21576763485477179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4</v>
      </c>
      <c r="H13" s="908"/>
      <c r="I13" s="898">
        <f t="shared" ref="I13:N13" si="0">SUBTOTAL(9,I8:I12)</f>
        <v>0</v>
      </c>
      <c r="J13" s="867">
        <f t="shared" si="0"/>
        <v>0</v>
      </c>
      <c r="K13" s="908">
        <f t="shared" si="0"/>
        <v>0</v>
      </c>
      <c r="L13" s="908">
        <f t="shared" si="0"/>
        <v>0</v>
      </c>
      <c r="M13" s="908">
        <f t="shared" si="0"/>
        <v>0</v>
      </c>
      <c r="N13" s="908">
        <f t="shared" si="0"/>
        <v>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126</v>
      </c>
      <c r="AA13" s="900">
        <f t="shared" si="2"/>
        <v>4</v>
      </c>
      <c r="AB13" s="900">
        <f t="shared" si="2"/>
        <v>0</v>
      </c>
      <c r="AC13" s="900">
        <f t="shared" si="2"/>
        <v>0</v>
      </c>
      <c r="AD13" s="900">
        <f t="shared" si="2"/>
        <v>0</v>
      </c>
      <c r="AE13" s="900">
        <f t="shared" si="2"/>
        <v>378</v>
      </c>
      <c r="AF13" s="908">
        <f t="shared" si="2"/>
        <v>0</v>
      </c>
      <c r="AG13" s="908">
        <f t="shared" si="2"/>
        <v>0</v>
      </c>
      <c r="AH13" s="908">
        <f t="shared" si="2"/>
        <v>0</v>
      </c>
      <c r="AI13" s="908">
        <f t="shared" si="2"/>
        <v>0</v>
      </c>
      <c r="AJ13" s="908">
        <f t="shared" si="2"/>
        <v>32</v>
      </c>
      <c r="AK13" s="908">
        <f t="shared" si="2"/>
        <v>58</v>
      </c>
      <c r="AL13" s="908">
        <f t="shared" si="2"/>
        <v>0</v>
      </c>
      <c r="AM13" s="908">
        <f t="shared" si="2"/>
        <v>0</v>
      </c>
      <c r="AN13" s="908">
        <f t="shared" si="2"/>
        <v>0</v>
      </c>
      <c r="AO13" s="904">
        <f>IF(ISNUMBER(((NºAsuntos!I13/NºAsuntos!G13)*11)/factor_trimestre),((NºAsuntos!I13/NºAsuntos!G13)*11)/factor_trimestre," - ")</f>
        <v>6.7380952380952381</v>
      </c>
      <c r="AP13" s="910" t="str">
        <f>IF(ISNUMBER(Datos!CI13/Datos!CJ13),Datos!CI13/Datos!CJ13," - ")</f>
        <v xml:space="preserve"> - </v>
      </c>
      <c r="AQ13" s="928">
        <f t="shared" ref="AQ13:AV13" si="3">SUBTOTAL(9,AQ9:AQ12)</f>
        <v>0</v>
      </c>
      <c r="AR13" s="928">
        <f t="shared" si="3"/>
        <v>-0.21576763485477179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125</v>
      </c>
      <c r="G16" s="225">
        <f>IF(ISNUMBER(IF(D_I="SI",Datos!I16,Datos!I16+Datos!AC16)),IF(D_I="SI",Datos!I16,Datos!I16+Datos!AC16)," - ")</f>
        <v>118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187</v>
      </c>
      <c r="Z16" s="619">
        <f>IF(ISNUMBER(Datos!Q16),Datos!Q16," - ")</f>
        <v>1</v>
      </c>
      <c r="AA16" s="332">
        <f>IF(ISNUMBER(IF(D_I="SI",Datos!L16,Datos!L16+Datos!AF16)),IF(D_I="SI",Datos!L16,Datos!L16+Datos!AF16)," - ")</f>
        <v>116</v>
      </c>
      <c r="AB16" s="334"/>
      <c r="AC16" s="334"/>
      <c r="AD16" s="484"/>
      <c r="AE16" s="484">
        <f>IF(ISNUMBER(Datos!R16),Datos!R16," - ")</f>
        <v>13</v>
      </c>
      <c r="AF16" s="229" t="str">
        <f>IF(ISNUMBER(Datos!BV16),Datos!BV16," - ")</f>
        <v xml:space="preserve"> - </v>
      </c>
      <c r="AG16" s="225"/>
      <c r="AH16" s="298"/>
      <c r="AI16" s="227"/>
      <c r="AJ16" s="225">
        <f>IF(ISNUMBER(Datos!M16),Datos!M16," - ")</f>
        <v>11</v>
      </c>
      <c r="AK16" s="229">
        <f>IF(ISNUMBER(Datos!N16),Datos!N16," - ")</f>
        <v>113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1.8609625668449201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7.0000000000000009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125</v>
      </c>
      <c r="G18" s="898">
        <f>SUBTOTAL(9,G15:G17)</f>
        <v>133</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190</v>
      </c>
      <c r="Z18" s="932">
        <f t="shared" si="5"/>
        <v>1</v>
      </c>
      <c r="AA18" s="932">
        <f t="shared" si="5"/>
        <v>123</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11</v>
      </c>
      <c r="AK18" s="932">
        <f t="shared" si="5"/>
        <v>114</v>
      </c>
      <c r="AL18" s="932">
        <f t="shared" si="5"/>
        <v>0</v>
      </c>
      <c r="AM18" s="932">
        <f t="shared" si="5"/>
        <v>0</v>
      </c>
      <c r="AN18" s="932">
        <f t="shared" si="5"/>
        <v>0</v>
      </c>
      <c r="AO18" s="934">
        <f>IF(ISNUMBER(((NºAsuntos!I18/NºAsuntos!G18)*11)/factor_trimestre),((NºAsuntos!I18/NºAsuntos!G18)*11)/factor_trimestre," - ")</f>
        <v>1.942105263157895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128</v>
      </c>
      <c r="G19" s="820">
        <f t="shared" si="7"/>
        <v>137</v>
      </c>
      <c r="H19" s="821">
        <f t="shared" si="7"/>
        <v>0</v>
      </c>
      <c r="I19" s="820">
        <f t="shared" si="7"/>
        <v>0</v>
      </c>
      <c r="J19" s="822">
        <f t="shared" si="7"/>
        <v>0</v>
      </c>
      <c r="K19" s="820">
        <f t="shared" si="7"/>
        <v>0</v>
      </c>
      <c r="L19" s="823">
        <f t="shared" si="7"/>
        <v>0</v>
      </c>
      <c r="M19" s="820">
        <f t="shared" si="7"/>
        <v>0</v>
      </c>
      <c r="N19" s="821">
        <f t="shared" si="7"/>
        <v>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v>
      </c>
      <c r="Z19" s="827">
        <f t="shared" si="8"/>
        <v>127</v>
      </c>
      <c r="AA19" s="828">
        <f t="shared" si="8"/>
        <v>127</v>
      </c>
      <c r="AB19" s="828">
        <f t="shared" si="8"/>
        <v>0</v>
      </c>
      <c r="AC19" s="828">
        <f t="shared" si="8"/>
        <v>0</v>
      </c>
      <c r="AD19" s="829">
        <f t="shared" si="8"/>
        <v>0</v>
      </c>
      <c r="AE19" s="829">
        <f t="shared" si="8"/>
        <v>391</v>
      </c>
      <c r="AF19" s="830">
        <f t="shared" si="8"/>
        <v>0</v>
      </c>
      <c r="AG19" s="831">
        <f t="shared" si="8"/>
        <v>0</v>
      </c>
      <c r="AH19" s="832">
        <f t="shared" si="8"/>
        <v>0</v>
      </c>
      <c r="AI19" s="830">
        <f t="shared" si="8"/>
        <v>0</v>
      </c>
      <c r="AJ19" s="820">
        <f t="shared" si="8"/>
        <v>43</v>
      </c>
      <c r="AK19" s="820">
        <f t="shared" si="8"/>
        <v>172</v>
      </c>
      <c r="AL19" s="820">
        <f t="shared" si="8"/>
        <v>0</v>
      </c>
      <c r="AM19" s="833">
        <f t="shared" si="8"/>
        <v>0</v>
      </c>
      <c r="AN19" s="823">
        <f>IF(ISNUMBER(Datos!K19/Datos!J19),Datos!K19/Datos!J19," - ")</f>
        <v>1.083916083916084</v>
      </c>
      <c r="AO19" s="823">
        <f>IF(ISNUMBER(FIND("06",Criterios!A8,1)),(IF(ISNUMBER(((Datos!R19/Datos!Q19)*11)/factor_trimestre),((Datos!R19/Datos!Q19)*11)/factor_trimestre," - ")),(IF(ISNUMBER(((Datos!L19/Datos!K19)*11)/factor_trimestre),((Datos!L19/Datos!K19)*11)/factor_trimestre," - ")))</f>
        <v>3.8612903225806452</v>
      </c>
      <c r="AP19" s="834" t="str">
        <f>IF(ISNUMBER(Datos!CI19/Datos!CJ19),Datos!CI19/Datos!CJ19," - ")</f>
        <v xml:space="preserve"> - </v>
      </c>
      <c r="AQ19" s="834">
        <f>IF(OR(ISNUMBER(FIND("01",Criterios!A8,1)),ISNUMBER(FIND("02",Criterios!A8,1)),ISNUMBER(FIND("03",Criterios!A8,1)),ISNUMBER(FIND("04",Criterios!A8,1))),(J19-Y19+K19)/(F19-K19),(I19-Y19+K19)/(F19-K19))</f>
        <v>-1.4921875</v>
      </c>
      <c r="AR19" s="834">
        <f>IF(ISNUMBER((Datos!P19-Datos!Q19+O19)/(Datos!R19-Datos!P19+Datos!Q19-O19)),(Datos!P19-Datos!Q19+O19)/(Datos!R19-Datos!P19+Datos!Q19-O19)," - ")</f>
        <v>-0.20366598778004075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70.436732841134344</v>
      </c>
      <c r="G21" s="552">
        <f>IF(ISNUMBER(STDEV(G8:G18)),STDEV(G8:G18),"-")</f>
        <v>64.91301872506007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14.109098719148104</v>
      </c>
      <c r="AK21" s="252"/>
      <c r="AL21" s="252">
        <f>IF(ISNUMBER(STDEV(AL8:AL18)),STDEV(AL8:AL18),"-")</f>
        <v>0</v>
      </c>
      <c r="AM21" s="254">
        <f>IF(ISNUMBER(STDEV(AM8:AM18)),STDEV(AM8:AM18),"-")</f>
        <v>0</v>
      </c>
      <c r="AN21" s="539">
        <f>IF(ISNUMBER(STDEV(AN8:AN18)),STDEV(AN8:AN18),"-")</f>
        <v>0</v>
      </c>
      <c r="AO21" s="540">
        <f>IF(ISNUMBER(STDEV(AO8:AO18)),STDEV(AO8:AO18),"-")</f>
        <v>3.7846523423436711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ytD6nTrzAKl9BmU7AVL3VWqAAKaVJ3oKMtYrTzt4PvL3Kxx3JwgllDE1X2lL+uEwalhoN9YxI9rPGMzCLWUJA==" saltValue="E67FVHyqEvISdTsaA+4s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JXL1sj8z4F5t6JPcF59em6bEy7Qh13R+2rUPiIlDcygI7E8bmyJ7rBD2FR7vukeeCE0KZqS8N07h/b98J/16w==" saltValue="CvqcH9rPetUFdQkuT/Cy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qc7usU+ck7UOviw1YFGhK8qNuDp4n9tR3DLKvxMhStUlyGeydkxdM/HgU0X8kypRV6bsZX4vRzeDrS2kzfVsQ==" saltValue="KFdFS3KDf0RWPL8+oLH38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0.25396825396825395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0.17958267458705968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F3eRDZwCIaQ+RfaDjylFpD6KtbrLkOdpJ2rT05XXmsKswabDXSzBkF/Zvfb515QBRlvc3BIbZpfI2TNqU0QBA==" saltValue="Ic0raf8u5XdcGNDkuQcE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oevLPzfHPxiEgkW0uiaZOvl/rCvn6cDxELg7ifV8xxO54jQhQyAYh4X4TM8WX+30baHE/ak0nskU66lx+vKXg==" saltValue="c1UZkKtXudZIEBb/Egfa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TINEO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291</v>
      </c>
      <c r="D12" s="404">
        <f>IF(ISNUMBER(C12/Datos!BH12),C12/Datos!BH12," - ")</f>
        <v>291</v>
      </c>
      <c r="E12" s="403">
        <f>IF(ISNUMBER(IF(J_V="SI",Datos!J12,Datos!J12+Datos!Z12)),IF(J_V="SI",Datos!J12,Datos!J12+Datos!Z12)," - ")</f>
        <v>113</v>
      </c>
      <c r="F12" s="404">
        <f>IF(ISNUMBER(E12/B12),E12/B12," - ")</f>
        <v>113</v>
      </c>
      <c r="G12" s="403">
        <f>IF(ISNUMBER(IF(J_V="SI",Datos!K12,Datos!K12+Datos!AA12)),IF(J_V="SI",Datos!K12,Datos!K12+Datos!AA12)," - ")</f>
        <v>125</v>
      </c>
      <c r="H12" s="404">
        <f>IF(ISNUMBER(G12/B12),G12/B12," - ")</f>
        <v>125</v>
      </c>
      <c r="I12" s="403">
        <f>IF(ISNUMBER(IF(J_V="SI",Datos!L12,Datos!L12+Datos!AB12)),IF(J_V="SI",Datos!L12,Datos!L12+Datos!AB12)," - ")</f>
        <v>279</v>
      </c>
      <c r="J12" s="404">
        <f>IF(ISNUMBER(I12/B12),I12/B12," - ")</f>
        <v>279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295</v>
      </c>
      <c r="D13" s="850" t="str">
        <f>IF(ISNUMBER(C13/Datos!BI13),C13/Datos!BI13," - ")</f>
        <v xml:space="preserve"> - </v>
      </c>
      <c r="E13" s="849">
        <f>SUBTOTAL(9,E8:E12)</f>
        <v>115</v>
      </c>
      <c r="F13" s="850">
        <f>IF(ISNUMBER(E13/B13),E13/B13," - ")</f>
        <v>115</v>
      </c>
      <c r="G13" s="849">
        <f>SUBTOTAL(9,G8:G12)</f>
        <v>126</v>
      </c>
      <c r="H13" s="850">
        <f>IF(ISNUMBER(G13/B13),G13/B13," - ")</f>
        <v>126</v>
      </c>
      <c r="I13" s="849">
        <f>SUBTOTAL(9,I8:I12)</f>
        <v>283</v>
      </c>
      <c r="J13" s="850">
        <f>IF(ISNUMBER(I13/B13),I13/B13," - ")</f>
        <v>283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118</v>
      </c>
      <c r="D16" s="404">
        <f>IF(ISNUMBER(C16/Datos!BH16),C16/Datos!BH16," - ")</f>
        <v>118</v>
      </c>
      <c r="E16" s="403">
        <f>IF(ISNUMBER(IF(D_I="SI",Datos!J16,Datos!J16+Datos!AD16)),IF(D_I="SI",Datos!J16,Datos!J16+Datos!AD16)," - ")</f>
        <v>178</v>
      </c>
      <c r="F16" s="404">
        <f>IF(ISNUMBER(E16/B16),E16/B16," - ")</f>
        <v>178</v>
      </c>
      <c r="G16" s="403">
        <f>IF(ISNUMBER(IF(D_I="SI",Datos!K16,Datos!K16+Datos!AE16)),IF(D_I="SI",Datos!K16,Datos!K16+Datos!AE16)," - ")</f>
        <v>187</v>
      </c>
      <c r="H16" s="404">
        <f>IF(ISNUMBER(G16/B16),G16/B16," - ")</f>
        <v>187</v>
      </c>
      <c r="I16" s="403">
        <f>IF(ISNUMBER(IF(D_I="SI",Datos!L16,Datos!L16+Datos!AF16)),IF(D_I="SI",Datos!L16,Datos!L16+Datos!AF16)," - ")</f>
        <v>116</v>
      </c>
      <c r="J16" s="404">
        <f>IF(ISNUMBER(I16/B16),I16/B16," - ")</f>
        <v>116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v>
      </c>
      <c r="F17" s="404">
        <f>IF(ISNUMBER(E17/B17),E17/B17," - ")</f>
        <v>1</v>
      </c>
      <c r="G17" s="403">
        <f>IF(ISNUMBER(IF(D_I="SI",Datos!K17,Datos!K17+Datos!AE17)),IF(D_I="SI",Datos!K17,Datos!K17+Datos!AE17)," - ")</f>
        <v>3</v>
      </c>
      <c r="H17" s="404">
        <f>IF(ISNUMBER(G17/B17),G17/B17," - ")</f>
        <v>3</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133</v>
      </c>
      <c r="D18" s="850" t="str">
        <f>IF(ISNUMBER(C18/Datos!BI18),C18/Datos!BI18," - ")</f>
        <v xml:space="preserve"> - </v>
      </c>
      <c r="E18" s="849">
        <f>SUBTOTAL(9,E14:E17)</f>
        <v>179</v>
      </c>
      <c r="F18" s="850">
        <f>IF(ISNUMBER(E18/B18),E18/B18," - ")</f>
        <v>179</v>
      </c>
      <c r="G18" s="849">
        <f>SUBTOTAL(9,G14:G17)</f>
        <v>190</v>
      </c>
      <c r="H18" s="850">
        <f>IF(ISNUMBER(G18/B18),G18/B18," - ")</f>
        <v>190</v>
      </c>
      <c r="I18" s="849">
        <f>SUBTOTAL(9,I14:I17)</f>
        <v>123</v>
      </c>
      <c r="J18" s="850">
        <f>IF(ISNUMBER(I18/B18),I18/B18," - ")</f>
        <v>123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428</v>
      </c>
      <c r="D19" s="795" t="str">
        <f>IF(ISNUMBER(C19/Datos!BI19),C19/Datos!BI19," - ")</f>
        <v xml:space="preserve"> - </v>
      </c>
      <c r="E19" s="794">
        <f>SUBTOTAL(9,E9:E18)</f>
        <v>294</v>
      </c>
      <c r="F19" s="795">
        <f>IF(ISNUMBER(E19/B19),E19/B19," - ")</f>
        <v>294</v>
      </c>
      <c r="G19" s="794">
        <f>SUBTOTAL(9,G9:G18)</f>
        <v>316</v>
      </c>
      <c r="H19" s="795">
        <f>IF(ISNUMBER(G19/B19),G19/B19," - ")</f>
        <v>316</v>
      </c>
      <c r="I19" s="794">
        <f>SUBTOTAL(9,I9:I18)</f>
        <v>406</v>
      </c>
      <c r="J19" s="795">
        <f>IF(ISNUMBER(I19/B19),I19/B19," - ")</f>
        <v>406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teT+HfEQ0Wh+rTMd6otCpPT99O3izwyNhRNOmPk/jr1WOfey/nccZ6zYi8PUQScWgEnALAnSveoMeQLOahVbw==" saltValue="kkmLD4rrykLkf8Uo3NPO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6.6960000000000015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-0.21576763485477179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4</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126</v>
      </c>
      <c r="AE13" s="939">
        <f t="shared" si="1"/>
        <v>0</v>
      </c>
      <c r="AF13" s="939">
        <f t="shared" si="1"/>
        <v>4</v>
      </c>
      <c r="AG13" s="939">
        <f t="shared" si="1"/>
        <v>0</v>
      </c>
      <c r="AH13" s="939">
        <f t="shared" si="1"/>
        <v>378</v>
      </c>
      <c r="AI13" s="939">
        <f t="shared" si="1"/>
        <v>0</v>
      </c>
      <c r="AJ13" s="939">
        <f t="shared" si="1"/>
        <v>0</v>
      </c>
      <c r="AK13" s="939">
        <f t="shared" si="1"/>
        <v>0</v>
      </c>
      <c r="AL13" s="939">
        <f t="shared" si="1"/>
        <v>32</v>
      </c>
      <c r="AM13" s="939">
        <f t="shared" si="1"/>
        <v>58</v>
      </c>
      <c r="AN13" s="939">
        <f t="shared" si="1"/>
        <v>0</v>
      </c>
      <c r="AO13" s="939">
        <f t="shared" si="1"/>
        <v>0</v>
      </c>
      <c r="AP13" s="944">
        <f>IF(ISNUMBER(((Datos!L13/Datos!K13)*11)/factor_trimestre),((Datos!L13/Datos!K13)*11)/factor_trimestre," - ")</f>
        <v>6.8999999999999995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-0.21576763485477179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1.942105263157895</v>
      </c>
      <c r="AQ18" s="944">
        <f>IF(ISNUMBER(((Datos!M18/Datos!L18)*11)/factor_trimestre),((Datos!M18/Datos!L18)*11)/factor_trimestre," - ")</f>
        <v>0.26829268292682928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0.44444444444444442</v>
      </c>
      <c r="AW18" s="946">
        <f>IF(ISNUMBER((Datos!Q18-Datos!R18)/(Datos!S18-Datos!Q18+Datos!R18)),(Datos!Q18-Datos!R18)/(Datos!S18-Datos!Q18+Datos!R18)," - ")</f>
        <v>-5.3811659192825115E-2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4</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126</v>
      </c>
      <c r="AE19" s="957">
        <f t="shared" si="5"/>
        <v>0</v>
      </c>
      <c r="AF19" s="958">
        <f t="shared" si="5"/>
        <v>4</v>
      </c>
      <c r="AG19" s="958">
        <f t="shared" si="5"/>
        <v>0</v>
      </c>
      <c r="AH19" s="958">
        <f t="shared" si="5"/>
        <v>378</v>
      </c>
      <c r="AI19" s="958">
        <f t="shared" si="5"/>
        <v>0</v>
      </c>
      <c r="AJ19" s="959">
        <f t="shared" si="5"/>
        <v>0</v>
      </c>
      <c r="AK19" s="959">
        <f t="shared" si="5"/>
        <v>0</v>
      </c>
      <c r="AL19" s="951">
        <f t="shared" si="5"/>
        <v>32</v>
      </c>
      <c r="AM19" s="951">
        <f t="shared" si="5"/>
        <v>58</v>
      </c>
      <c r="AN19" s="951">
        <f t="shared" si="5"/>
        <v>0</v>
      </c>
      <c r="AO19" s="951">
        <f t="shared" si="5"/>
        <v>0</v>
      </c>
      <c r="AP19" s="951">
        <f>IF(ISNUMBER(((Datos!L19/Datos!K19)*11)/factor_trimestre),((Datos!L19/Datos!K19)*11)/factor_trimestre," - ")</f>
        <v>3.8612903225806452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-0.20366598778004075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17.907168024751059</v>
      </c>
      <c r="AM21" s="736"/>
      <c r="AN21" s="736">
        <f>IF(ISNUMBER(STDEV(AN8:AN18)),STDEV(AN8:AN18),"-")</f>
        <v>0</v>
      </c>
      <c r="AO21" s="742">
        <f>IF(ISNUMBER(STDEV(AO8:AO18)),STDEV(AO8:AO18),"-")</f>
        <v>0</v>
      </c>
      <c r="AP21" s="779">
        <f>IF(ISNUMBER(STDEV(AP8:AP18)),STDEV(AP8:AP18),"-")</f>
        <v>4.1081779611726681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vu+fpudAByk5ZvHx75XInnzibLHPxl/PovmZjl4NaJWha8MGrdVUQWNb/7BuFGl0lF88/HLt/quwIQvTY7Jtw==" saltValue="dgmz4L+bzP50OqjYcwmh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apEatmuJg8dqJzVpWVyjcghH4OhQi1lehmcIruky85N39YgjvPnizH+VgAq9QPdwgzzehOLCG2JJmADXJeBdg==" saltValue="f2dV5oKSX0KT9xLjPJx/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TINEO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58</v>
      </c>
      <c r="G12" s="404">
        <f t="shared" si="1"/>
        <v>58</v>
      </c>
      <c r="H12" s="403">
        <f>IF(ISNUMBER(Datos!O12),Datos!O12," - ")</f>
        <v>40</v>
      </c>
      <c r="I12" s="404">
        <f t="shared" si="2"/>
        <v>40</v>
      </c>
      <c r="BZ12" s="1186">
        <f>Datos!EZ12</f>
        <v>0</v>
      </c>
    </row>
    <row r="13" spans="1:78" ht="14.25" thickTop="1" thickBot="1">
      <c r="A13" s="848" t="str">
        <f>Datos!A13</f>
        <v>TOTAL</v>
      </c>
      <c r="B13" s="849">
        <f>Datos!AP13</f>
        <v>1</v>
      </c>
      <c r="C13" s="851">
        <f>Datos!AR13</f>
        <v>1</v>
      </c>
      <c r="D13" s="849">
        <f>SUBTOTAL(9,D9:D12)</f>
        <v>32</v>
      </c>
      <c r="E13" s="850">
        <f t="shared" si="0"/>
        <v>32</v>
      </c>
      <c r="F13" s="849">
        <f>SUBTOTAL(9,F9:F12)</f>
        <v>58</v>
      </c>
      <c r="G13" s="850">
        <f t="shared" si="1"/>
        <v>58</v>
      </c>
      <c r="H13" s="849">
        <f>SUBTOTAL(9,H9:H12)</f>
        <v>40</v>
      </c>
      <c r="I13" s="850">
        <f>IF(ISNUMBER(H13/B13),H13/B13," - ")</f>
        <v>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113</v>
      </c>
      <c r="G16" s="404">
        <f t="shared" si="4"/>
        <v>113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v>
      </c>
      <c r="E18" s="850">
        <f t="shared" si="3"/>
        <v>11</v>
      </c>
      <c r="F18" s="849">
        <f>SUBTOTAL(9,F15:F17)</f>
        <v>114</v>
      </c>
      <c r="G18" s="850">
        <f t="shared" si="4"/>
        <v>114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43</v>
      </c>
      <c r="E19" s="795">
        <f>IF(ISNUMBER(D19/B19),D19/B19," - ")</f>
        <v>43</v>
      </c>
      <c r="F19" s="794">
        <f>SUBTOTAL(9,F8:F18)</f>
        <v>172</v>
      </c>
      <c r="G19" s="795">
        <f>IF(ISNUMBER(F19/B19),F19/B19," - ")</f>
        <v>172</v>
      </c>
      <c r="H19" s="794">
        <f>SUBTOTAL(9,H8:H18)</f>
        <v>40</v>
      </c>
      <c r="I19" s="795">
        <f>IF(ISNUMBER(H19/B19),H19/B19," - ")</f>
        <v>40</v>
      </c>
    </row>
    <row r="22" spans="1:78">
      <c r="A22" s="391" t="str">
        <f>Criterios!A4</f>
        <v>Fecha Informe: 27 feb. 2025</v>
      </c>
    </row>
    <row r="27" spans="1:78">
      <c r="A27" s="414"/>
    </row>
  </sheetData>
  <sheetProtection algorithmName="SHA-512" hashValue="rVzdUErfE4g+z0YD94TROBFWRbyztrJ+HDuLVZvJXIkFiQC35lqGWDToNJdpPN8wjVun9X//dQfeMQzBENgkIw==" saltValue="+9c6QrhO5qMvyocZIcYj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v>
      </c>
      <c r="C12" s="434">
        <f>IF(ISNUMBER(Datos!Q12),Datos!Q12," - ")</f>
        <v>126</v>
      </c>
      <c r="D12" s="408">
        <f>IF(ISNUMBER(Datos!R12),Datos!R12," - ")</f>
        <v>378</v>
      </c>
    </row>
    <row r="13" spans="1:4" ht="14.25" thickTop="1" thickBot="1">
      <c r="A13" s="848" t="str">
        <f>Datos!A13</f>
        <v>TOTAL</v>
      </c>
      <c r="B13" s="849">
        <f>SUBTOTAL(9,B9:B12)</f>
        <v>22</v>
      </c>
      <c r="C13" s="853">
        <f>SUBTOTAL(9,C9:C12)</f>
        <v>126</v>
      </c>
      <c r="D13" s="851">
        <f>SUBTOTAL(9,D9:D12)</f>
        <v>378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13</v>
      </c>
    </row>
    <row r="19" spans="1:4" ht="16.5" customHeight="1" thickTop="1" thickBot="1">
      <c r="A19" s="793" t="str">
        <f>Datos!A19</f>
        <v>TOTAL JURISDICCIONES</v>
      </c>
      <c r="B19" s="798">
        <f>SUBTOTAL(9,B8:B18)</f>
        <v>27</v>
      </c>
      <c r="C19" s="799">
        <f>SUBTOTAL(9,C8:C18)</f>
        <v>127</v>
      </c>
      <c r="D19" s="800">
        <f>SUBTOTAL(9,D8:D18)</f>
        <v>391</v>
      </c>
    </row>
    <row r="20" spans="1:4" ht="7.5" customHeight="1"/>
    <row r="21" spans="1:4" ht="6" customHeight="1"/>
    <row r="22" spans="1:4">
      <c r="A22" s="391" t="str">
        <f>Criterios!A4</f>
        <v>Fecha Informe: 27 feb. 2025</v>
      </c>
    </row>
    <row r="27" spans="1:4">
      <c r="A27" s="414"/>
    </row>
  </sheetData>
  <sheetProtection algorithmName="SHA-512" hashValue="5EAz1xsqEitdL8iikVUUrZwS6f74UKxhmgHynvLT02GQrqqDd7C8SsapD4OykYIgs888fUSfJXcLnLd/5QPYoA==" saltValue="TRj1nG7CeEGacHSvKgNk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-0.66666666666666663</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-0.66666666666666663</v>
      </c>
      <c r="I10" s="456">
        <f>IF(ISNUMBER(((NºAsuntos!I10/NºAsuntos!G10)-Datos!BE10)/Datos!BE10),((NºAsuntos!I10/NºAsuntos!G10)-Datos!BE10)/Datos!BE10," - ")</f>
        <v>5.0000000000000009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2.5999999999999996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-2.6755852842809364E-2</v>
      </c>
      <c r="C12" s="456">
        <f>IF(ISNUMBER(
   IF(J_V="SI",(Datos!J12-Datos!T12)/Datos!T12,(Datos!J12+Datos!Z12-(Datos!T12+Datos!AH12))/(Datos!T12+Datos!AH12))
     ),IF(J_V="SI",(Datos!J12-Datos!T12)/Datos!T12,(Datos!J12+Datos!Z12-(Datos!T12+Datos!AH12))/(Datos!T12+Datos!AH12))," - ")</f>
        <v>0.20212765957446807</v>
      </c>
      <c r="D12" s="456">
        <f>IF(ISNUMBER(
   IF(J_V="SI",(Datos!K12-Datos!U12)/Datos!U12,(Datos!K12+Datos!AA12-(Datos!U12+Datos!AI12))/(Datos!U12+Datos!AI12))
     ),IF(J_V="SI",(Datos!K12-Datos!U12)/Datos!U12,(Datos!K12+Datos!AA12-(Datos!U12+Datos!AI12))/(Datos!U12+Datos!AI12))," - ")</f>
        <v>0.45348837209302323</v>
      </c>
      <c r="E12" s="456">
        <f>IF(ISNUMBER(
   IF(J_V="SI",(Datos!L12-Datos!V12)/Datos!V12,(Datos!L12+Datos!AB12-(Datos!V12+Datos!AJ12))/(Datos!V12+Datos!AJ12))
     ),IF(J_V="SI",(Datos!L12-Datos!V12)/Datos!V12,(Datos!L12+Datos!AB12-(Datos!V12+Datos!AJ12))/(Datos!V12+Datos!AJ12))," - ")</f>
        <v>-9.1205211726384364E-2</v>
      </c>
      <c r="F12" s="456">
        <f>IF(ISNUMBER((Datos!M12-Datos!W12)/Datos!W12),(Datos!M12-Datos!W12)/Datos!W12," - ")</f>
        <v>1.2142857142857142</v>
      </c>
      <c r="G12" s="457">
        <f>IF(ISNUMBER((Datos!N12-Datos!X12)/Datos!X12),(Datos!N12-Datos!X12)/Datos!X12," - ")</f>
        <v>0.34883720930232559</v>
      </c>
      <c r="H12" s="455">
        <f>IF(ISNUMBER(((NºAsuntos!G12/NºAsuntos!E12)-Datos!BD12)/Datos!BD12),((NºAsuntos!G12/NºAsuntos!E12)-Datos!BD12)/Datos!BD12," - ")</f>
        <v>0.20909652191809008</v>
      </c>
      <c r="I12" s="456">
        <f>IF(ISNUMBER(((NºAsuntos!I12/NºAsuntos!G12)-Datos!BE12)/Datos!BE12),((NºAsuntos!I12/NºAsuntos!G12)-Datos!BE12)/Datos!BE12," - ")</f>
        <v>-0.37474918566775239</v>
      </c>
      <c r="J12" s="461">
        <f>IF(ISNUMBER((('Resol  Asuntos'!D12/NºAsuntos!G12)-Datos!BF12)/Datos!BF12),(('Resol  Asuntos'!D12/NºAsuntos!G12)-Datos!BF12)/Datos!BF12," - ")</f>
        <v>-0.504</v>
      </c>
      <c r="K12" s="462">
        <f>IF(ISNUMBER((((NºAsuntos!C12+NºAsuntos!E12)/NºAsuntos!G12)-Datos!BG12)/Datos!BG12),(((NºAsuntos!C12+NºAsuntos!E12)/NºAsuntos!G12)-Datos!BG12)/Datos!BG12," - ")</f>
        <v>-0.29274300254452923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-2.3178807947019868E-2</v>
      </c>
      <c r="C13" s="855">
        <f>IF(ISNUMBER(
   IF(J_V="SI",(Datos!J13-Datos!T13)/Datos!T13,(Datos!J13+Datos!Z13-(Datos!T13+Datos!AH13))/(Datos!T13+Datos!AH13))
     ),IF(J_V="SI",(Datos!J13-Datos!T13)/Datos!T13,(Datos!J13+Datos!Z13-(Datos!T13+Datos!AH13))/(Datos!T13+Datos!AH13))," - ")</f>
        <v>0.19791666666666666</v>
      </c>
      <c r="D13" s="855">
        <f>IF(ISNUMBER(
   IF(J_V="SI",(Datos!K13-Datos!U13)/Datos!U13,(Datos!K13+Datos!AA13-(Datos!U13+Datos!AI13))/(Datos!U13+Datos!AI13))
     ),IF(J_V="SI",(Datos!K13-Datos!U13)/Datos!U13,(Datos!K13+Datos!AA13-(Datos!U13+Datos!AI13))/(Datos!U13+Datos!AI13))," - ")</f>
        <v>0.4157303370786517</v>
      </c>
      <c r="E13" s="855">
        <f>IF(ISNUMBER(
   IF(J_V="SI",(Datos!L13-Datos!V13)/Datos!V13,(Datos!L13+Datos!AB13-(Datos!V13+Datos!AJ13))/(Datos!V13+Datos!AJ13))
     ),IF(J_V="SI",(Datos!L13-Datos!V13)/Datos!V13,(Datos!L13+Datos!AB13-(Datos!V13+Datos!AJ13))/(Datos!V13+Datos!AJ13))," - ")</f>
        <v>-8.4142394822006472E-2</v>
      </c>
      <c r="F13" s="856">
        <f>IF(ISNUMBER((Datos!M13-Datos!W13)/Datos!W13),(Datos!M13-Datos!W13)/Datos!W13," - ")</f>
        <v>1.2857142857142858</v>
      </c>
      <c r="G13" s="857">
        <f>IF(ISNUMBER((Datos!N13-Datos!X13)/Datos!X13),(Datos!N13-Datos!X13)/Datos!X13," - ")</f>
        <v>0.34883720930232559</v>
      </c>
      <c r="H13" s="857">
        <f>IF(ISNUMBER(((NºAsuntos!G13/NºAsuntos!E13)-Datos!BD13)/Datos!BD13),((NºAsuntos!G13/NºAsuntos!E13)-Datos!BD13)/Datos!BD13," - ")</f>
        <v>0.18182706399609166</v>
      </c>
      <c r="I13" s="857">
        <f>IF(ISNUMBER(((NºAsuntos!I13/NºAsuntos!G13)-Datos!BE13)/Datos!BE13),((NºAsuntos!I13/NºAsuntos!G13)-Datos!BE13)/Datos!BE13," - ")</f>
        <v>-0.35308470745363946</v>
      </c>
      <c r="J13" s="857">
        <f>IF(ISNUMBER((('Resol  Asuntos'!D13/NºAsuntos!G13)-Datos!BF13)/Datos!BF13),(('Resol  Asuntos'!D13/NºAsuntos!G13)-Datos!BF13)/Datos!BF13," - ")</f>
        <v>-0.47434477667035813</v>
      </c>
      <c r="K13" s="857">
        <f>IF(ISNUMBER((((NºAsuntos!C13+NºAsuntos!E13)/NºAsuntos!G13)-Datos!BG13)/Datos!BG13),(((NºAsuntos!C13+NºAsuntos!E13)/NºAsuntos!G13)-Datos!BG13)/Datos!BG13," - ")</f>
        <v>-0.27235383265534019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-0.40703517587939697</v>
      </c>
      <c r="C16" s="456">
        <f>IF(ISNUMBER(
   IF(D_I="SI",(Datos!J16-Datos!T16)/Datos!T16,(Datos!J16+Datos!AD16-(Datos!T16+Datos!AL16))/(Datos!T16+Datos!AL16))
     ),IF(D_I="SI",(Datos!J16-Datos!T16)/Datos!T16,(Datos!J16+Datos!AD16-(Datos!T16+Datos!AL16))/(Datos!T16+Datos!AL16))," - ")</f>
        <v>0.18666666666666668</v>
      </c>
      <c r="D16" s="456">
        <f>IF(ISNUMBER(
   IF(D_I="SI",(Datos!K16-Datos!U16)/Datos!U16,(Datos!K16+Datos!AE16-(Datos!U16+Datos!AM16))/(Datos!U16+Datos!AM16))
     ),IF(D_I="SI",(Datos!K16-Datos!U16)/Datos!U16,(Datos!K16+Datos!AE16-(Datos!U16+Datos!AM16))/(Datos!U16+Datos!AM16))," - ")</f>
        <v>-0.17982456140350878</v>
      </c>
      <c r="E16" s="456">
        <f>IF(ISNUMBER(
   IF(D_I="SI",(Datos!L16-Datos!V16)/Datos!V16,(Datos!L16+Datos!AF16-(Datos!V16+Datos!AN16))/(Datos!V16+Datos!AN16))
     ),IF(D_I="SI",(Datos!L16-Datos!V16)/Datos!V16,(Datos!L16+Datos!AF16-(Datos!V16+Datos!AN16))/(Datos!V16+Datos!AN16))," - ")</f>
        <v>-0.10077519379844961</v>
      </c>
      <c r="F16" s="456">
        <f>IF(ISNUMBER((Datos!M16-Datos!W16)/Datos!W16),(Datos!M16-Datos!W16)/Datos!W16," - ")</f>
        <v>-0.52173913043478259</v>
      </c>
      <c r="G16" s="457">
        <f>IF(ISNUMBER((Datos!N16-Datos!X16)/Datos!X16),(Datos!N16-Datos!X16)/Datos!X16," - ")</f>
        <v>-0.28930817610062892</v>
      </c>
      <c r="H16" s="455">
        <f>IF(ISNUMBER(((NºAsuntos!G16/NºAsuntos!E16)-Datos!BD16)/Datos!BD16),((NºAsuntos!G16/NºAsuntos!E16)-Datos!BD16)/Datos!BD16," - ")</f>
        <v>-0.30884092253104672</v>
      </c>
      <c r="I16" s="456">
        <f>IF(ISNUMBER(((NºAsuntos!I16/NºAsuntos!G16)-Datos!BE16)/Datos!BE16),((NºAsuntos!I16/NºAsuntos!G16)-Datos!BE16)/Datos!BE16," - ")</f>
        <v>9.6381047133441214E-2</v>
      </c>
      <c r="J16" s="461">
        <f>IF(ISNUMBER((('Resol  Asuntos'!D16/NºAsuntos!G16)-Datos!BF16)/Datos!BF16),(('Resol  Asuntos'!D16/NºAsuntos!G16)-Datos!BF16)/Datos!BF16," - ")</f>
        <v>-0.41687979539641939</v>
      </c>
      <c r="K16" s="462">
        <f>IF(ISNUMBER((((NºAsuntos!C16+NºAsuntos!E16)/NºAsuntos!G16)-Datos!BG16)/Datos!BG16),(((NºAsuntos!C16+NºAsuntos!E16)/NºAsuntos!G16)-Datos!BG16)/Datos!BG16," - ")</f>
        <v>3.4092824418123675E-2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v>
      </c>
      <c r="I17" s="456">
        <f>IF(ISNUMBER(((NºAsuntos!I17/NºAsuntos!G17)-Datos!BE17)/Datos!BE17),((NºAsuntos!I17/NºAsuntos!G17)-Datos!BE17)/Datos!BE17," - ")</f>
        <v>-0.3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0.23076923076923078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-0.36966824644549762</v>
      </c>
      <c r="C18" s="855">
        <f>IF(ISNUMBER(
   IF(Criterios!B14="SI",(Datos!J18-Datos!T18)/Datos!T18,(Datos!J18+Datos!AD18-(Datos!T18+Datos!AL18))/(Datos!T18+Datos!AL18))
     ),IF(Criterios!B14="SI",(Datos!J18-Datos!T18)/Datos!T18,(Datos!J18+Datos!AD18-(Datos!T18+Datos!AL18))/(Datos!T18+Datos!AL18))," - ")</f>
        <v>0.18543046357615894</v>
      </c>
      <c r="D18" s="855">
        <f>IF(ISNUMBER(
   IF(Criterios!B14="SI",(Datos!K18-Datos!U18)/Datos!U18,(Datos!K18+Datos!AE18-(Datos!U18+Datos!AM18))/(Datos!U18+Datos!AM18))
     ),IF(Criterios!B14="SI",(Datos!K18-Datos!U18)/Datos!U18,(Datos!K18+Datos!AE18-(Datos!U18+Datos!AM18))/(Datos!U18+Datos!AM18))," - ")</f>
        <v>-0.1774891774891775</v>
      </c>
      <c r="E18" s="855">
        <f>IF(ISNUMBER(
   IF(Criterios!B14="SI",(Datos!L18-Datos!V18)/Datos!V18,(Datos!L18+Datos!AF18-(Datos!V18+Datos!AN18))/(Datos!V18+Datos!AN18))
     ),IF(Criterios!B14="SI",(Datos!L18-Datos!V18)/Datos!V18,(Datos!L18+Datos!AF18-(Datos!V18+Datos!AN18))/(Datos!V18+Datos!AN18))," - ")</f>
        <v>-0.11510791366906475</v>
      </c>
      <c r="F18" s="856">
        <f>IF(ISNUMBER((Datos!M18-Datos!W18)/Datos!W18),(Datos!M18-Datos!W18)/Datos!W18," - ")</f>
        <v>-0.52173913043478259</v>
      </c>
      <c r="G18" s="857">
        <f>IF(ISNUMBER((Datos!N18-Datos!X18)/Datos!X18),(Datos!N18-Datos!X18)/Datos!X18," - ")</f>
        <v>-0.29192546583850931</v>
      </c>
      <c r="H18" s="857">
        <f>IF(ISNUMBER(((NºAsuntos!G18/NºAsuntos!E18)-Datos!BD18)/Datos!BD18),((NºAsuntos!G18/NºAsuntos!E18)-Datos!BD18)/Datos!BD18," - ")</f>
        <v>-0.30615008827299323</v>
      </c>
      <c r="I18" s="857">
        <f>IF(ISNUMBER(((NºAsuntos!I18/NºAsuntos!G18)-Datos!BE18)/Datos!BE18),((NºAsuntos!I18/NºAsuntos!G18)-Datos!BE18)/Datos!BE18," - ")</f>
        <v>7.5842483907610683E-2</v>
      </c>
      <c r="J18" s="857">
        <f>IF(ISNUMBER((('Resol  Asuntos'!D18/NºAsuntos!G18)-Datos!BF18)/Datos!BF18),(('Resol  Asuntos'!D18/NºAsuntos!G18)-Datos!BF18)/Datos!BF18," - ")</f>
        <v>-0.41853546910755152</v>
      </c>
      <c r="K18" s="857">
        <f>IF(ISNUMBER((((NºAsuntos!C18+NºAsuntos!E18)/NºAsuntos!G18)-Datos!BG18)/Datos!BG18),(((NºAsuntos!C18+NºAsuntos!E18)/NºAsuntos!G18)-Datos!BG18)/Datos!BG18," - ")</f>
        <v>4.7862750799651056E-2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-0.16569200779727095</v>
      </c>
      <c r="C19" s="802">
        <f>IF(ISNUMBER(
   IF(J_V="SI",(Datos!J19-Datos!T19)/Datos!T19,(Datos!J19+Datos!Z19-(Datos!T19+Datos!AH19))/(Datos!T19+Datos!AH19))
     ),IF(J_V="SI",(Datos!J19-Datos!T19)/Datos!T19,(Datos!J19+Datos!Z19-(Datos!T19+Datos!AH19))/(Datos!T19+Datos!AH19))," - ")</f>
        <v>0.19028340080971659</v>
      </c>
      <c r="D19" s="802">
        <f>IF(ISNUMBER(
   IF(J_V="SI",(Datos!K19-Datos!U19)/Datos!U19,(Datos!K19+Datos!AA19-(Datos!U19+Datos!AI19))/(Datos!U19+Datos!AI19))
     ),IF(J_V="SI",(Datos!K19-Datos!U19)/Datos!U19,(Datos!K19+Datos!AA19-(Datos!U19+Datos!AI19))/(Datos!U19+Datos!AI19))," - ")</f>
        <v>-1.2500000000000001E-2</v>
      </c>
      <c r="E19" s="802">
        <f>IF(ISNUMBER(
   IF(J_V="SI",(Datos!L19-Datos!V19)/Datos!V19,(Datos!L19+Datos!AB19-(Datos!V19+Datos!AJ19))/(Datos!V19+Datos!AJ19))
     ),IF(J_V="SI",(Datos!L19-Datos!V19)/Datos!V19,(Datos!L19+Datos!AB19-(Datos!V19+Datos!AJ19))/(Datos!V19+Datos!AJ19))," - ")</f>
        <v>-9.375E-2</v>
      </c>
      <c r="F19" s="803">
        <f>IF(ISNUMBER((Datos!M19-Datos!W19)/Datos!W19),(Datos!M19-Datos!W19)/Datos!W19," - ")</f>
        <v>0.16216216216216217</v>
      </c>
      <c r="G19" s="804">
        <f>IF(ISNUMBER((Datos!N19-Datos!X19)/Datos!X19),(Datos!N19-Datos!X19)/Datos!X19," - ")</f>
        <v>-0.15686274509803921</v>
      </c>
      <c r="H19" s="805">
        <f>IF(ISNUMBER((Tasas!B19-Datos!BD19)/Datos!BD19),(Tasas!B19-Datos!BD19)/Datos!BD19," - ")</f>
        <v>-0.17036564625850334</v>
      </c>
      <c r="I19" s="806">
        <f>IF(ISNUMBER((Tasas!C19-Datos!BE19)/Datos!BE19),(Tasas!C19-Datos!BE19)/Datos!BE19," - ")</f>
        <v>-8.2278481012658194E-2</v>
      </c>
      <c r="J19" s="807">
        <f>IF(ISNUMBER((Tasas!D19-Datos!BF19)/Datos!BF19),(Tasas!D19-Datos!BF19)/Datos!BF19," - ")</f>
        <v>-0.34023782125047941</v>
      </c>
      <c r="K19" s="807">
        <f>IF(ISNUMBER((Tasas!E19-Datos!BG19)/Datos!BG19),(Tasas!E19-Datos!BG19)/Datos!BG19," - ")</f>
        <v>-3.7974683544303722E-2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Ii5bD37Ijqd+pnQiv86fXkF5+ZnD8ssepjgFjm95PKo8p1RPuPE/3so6upbPM5kSa1cQP/BFwAydxvgSwRZ1Q==" saltValue="4OIltKQa297QfLg5X4Pt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1.1061946902654867</v>
      </c>
      <c r="C12" s="443">
        <f>IF(ISNUMBER(NºAsuntos!I12/NºAsuntos!G12),NºAsuntos!I12/NºAsuntos!G12," - ")</f>
        <v>2.2320000000000002</v>
      </c>
      <c r="D12" s="444">
        <f>IF(ISNUMBER('Resol  Asuntos'!D12/NºAsuntos!G12),'Resol  Asuntos'!D12/NºAsuntos!G12," - ")</f>
        <v>0.248</v>
      </c>
      <c r="E12" s="445">
        <f>IF(ISNUMBER((NºAsuntos!C12+NºAsuntos!E12)/NºAsuntos!G12),(NºAsuntos!C12+NºAsuntos!E12)/NºAsuntos!G12," - ")</f>
        <v>3.2320000000000002</v>
      </c>
      <c r="G12" s="463"/>
    </row>
    <row r="13" spans="1:7" ht="14.25" thickTop="1" thickBot="1">
      <c r="A13" s="848" t="str">
        <f>Datos!A13</f>
        <v>TOTAL</v>
      </c>
      <c r="B13" s="858">
        <f>IF(ISNUMBER(NºAsuntos!G13/NºAsuntos!E13),NºAsuntos!G13/NºAsuntos!E13," - ")</f>
        <v>1.0956521739130434</v>
      </c>
      <c r="C13" s="859">
        <f>IF(ISNUMBER(NºAsuntos!I13/NºAsuntos!G13),NºAsuntos!I13/NºAsuntos!G13," - ")</f>
        <v>2.246031746031746</v>
      </c>
      <c r="D13" s="860">
        <f>IF(ISNUMBER('Resol  Asuntos'!D13/NºAsuntos!G13),'Resol  Asuntos'!D13/NºAsuntos!G13," - ")</f>
        <v>0.25396825396825395</v>
      </c>
      <c r="E13" s="861">
        <f>IF(ISNUMBER((NºAsuntos!C13+NºAsuntos!E13)/NºAsuntos!G13),(NºAsuntos!C13+NºAsuntos!E13)/NºAsuntos!G13," - ")</f>
        <v>3.253968253968254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1.050561797752809</v>
      </c>
      <c r="C16" s="443">
        <f>IF(ISNUMBER(NºAsuntos!I16/NºAsuntos!G16),NºAsuntos!I16/NºAsuntos!G16," - ")</f>
        <v>0.6203208556149733</v>
      </c>
      <c r="D16" s="444">
        <f>IF(ISNUMBER('Resol  Asuntos'!D16/NºAsuntos!G16),'Resol  Asuntos'!D16/NºAsuntos!G16," - ")</f>
        <v>5.8823529411764705E-2</v>
      </c>
      <c r="E16" s="445">
        <f>IF(ISNUMBER((NºAsuntos!C16+NºAsuntos!E16)/NºAsuntos!G16),(NºAsuntos!C16+NºAsuntos!E16)/NºAsuntos!G16," - ")</f>
        <v>1.5828877005347595</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2.3333333333333335</v>
      </c>
      <c r="D17" s="444">
        <f>IF(ISNUMBER('Resol  Asuntos'!D17/NºAsuntos!G17),'Resol  Asuntos'!D17/NºAsuntos!G17," - ")</f>
        <v>0</v>
      </c>
      <c r="E17" s="445">
        <f>IF(ISNUMBER((NºAsuntos!C17+NºAsuntos!E17)/NºAsuntos!G17),(NºAsuntos!C17+NºAsuntos!E17)/NºAsuntos!G17," - ")</f>
        <v>5.333333333333333</v>
      </c>
      <c r="G17" s="463"/>
    </row>
    <row r="18" spans="1:7" ht="14.25" thickTop="1" thickBot="1">
      <c r="A18" s="848" t="str">
        <f>Datos!A18</f>
        <v>TOTAL</v>
      </c>
      <c r="B18" s="858">
        <f>IF(ISNUMBER(NºAsuntos!G18/NºAsuntos!E18),NºAsuntos!G18/NºAsuntos!E18," - ")</f>
        <v>1.0614525139664805</v>
      </c>
      <c r="C18" s="859">
        <f>IF(ISNUMBER(NºAsuntos!I18/NºAsuntos!G18),NºAsuntos!I18/NºAsuntos!G18," - ")</f>
        <v>0.64736842105263159</v>
      </c>
      <c r="D18" s="862">
        <f>IF(ISNUMBER('Resol  Asuntos'!D18/NºAsuntos!G18),'Resol  Asuntos'!D18/NºAsuntos!G18," - ")</f>
        <v>5.7894736842105263E-2</v>
      </c>
      <c r="E18" s="861">
        <f>IF(ISNUMBER((NºAsuntos!C18+NºAsuntos!E18)/NºAsuntos!G18),(NºAsuntos!C18+NºAsuntos!E18)/NºAsuntos!G18," - ")</f>
        <v>1.6421052631578947</v>
      </c>
      <c r="G18" s="463"/>
    </row>
    <row r="19" spans="1:7" ht="15.75" customHeight="1" thickTop="1" thickBot="1">
      <c r="A19" s="793" t="str">
        <f>Datos!A19</f>
        <v>TOTAL JURISDICCIONES</v>
      </c>
      <c r="B19" s="808">
        <f>IF(ISNUMBER(NºAsuntos!G19/NºAsuntos!E19),NºAsuntos!G19/NºAsuntos!E19," - ")</f>
        <v>1.0748299319727892</v>
      </c>
      <c r="C19" s="809">
        <f>IF(ISNUMBER(NºAsuntos!I19/NºAsuntos!G19),NºAsuntos!I19/NºAsuntos!G19," - ")</f>
        <v>1.2848101265822784</v>
      </c>
      <c r="D19" s="810">
        <f>IF(ISNUMBER('Resol  Asuntos'!D19/NºAsuntos!G19),'Resol  Asuntos'!D19/NºAsuntos!G19," - ")</f>
        <v>0.13607594936708861</v>
      </c>
      <c r="E19" s="811">
        <f>IF(ISNUMBER((NºAsuntos!C19+NºAsuntos!E19)/NºAsuntos!G19),(NºAsuntos!C19+NºAsuntos!E19)/NºAsuntos!G19," - ")</f>
        <v>2.2848101265822787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rLZq5FFU3+lixGY9W9vGML3gNPu/X6sQiqCCmIWfKKWdyVxw+3vv30Ee1Kbf0n2O0MABjaxrIBC/+aHF/q40A==" saltValue="xSrC+ePj5mcJwz9kme/Q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126</v>
      </c>
      <c r="Y12" s="334">
        <f t="shared" si="0"/>
        <v>126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1.1061946902654867</v>
      </c>
      <c r="AM12" s="260">
        <f>IF(ISNUMBER(((NºAsuntos!I12/NºAsuntos!G12)*11)/factor_trimestre),((NºAsuntos!I12/NºAsuntos!G12)*11)/factor_trimestre," - ")</f>
        <v>6.6960000000000015</v>
      </c>
      <c r="AN12" s="244">
        <f>IF(ISNUMBER('Resol  Asuntos'!D12/NºAsuntos!G12),'Resol  Asuntos'!D12/NºAsuntos!G12," - ")</f>
        <v>0.248</v>
      </c>
      <c r="AO12" s="245">
        <f>IF(ISNUMBER((NºAsuntos!C12+NºAsuntos!E12)/NºAsuntos!G12),(NºAsuntos!C12+NºAsuntos!E12)/NºAsuntos!G12," - ")</f>
        <v>3.2320000000000002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4</v>
      </c>
      <c r="H13" s="865">
        <f t="shared" si="3"/>
        <v>0</v>
      </c>
      <c r="I13" s="867">
        <f t="shared" si="3"/>
        <v>0</v>
      </c>
      <c r="J13" s="867">
        <f t="shared" si="3"/>
        <v>0</v>
      </c>
      <c r="K13" s="867">
        <f t="shared" si="3"/>
        <v>0</v>
      </c>
      <c r="L13" s="867">
        <f t="shared" si="3"/>
        <v>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126</v>
      </c>
      <c r="Y13" s="868">
        <f t="shared" si="4"/>
        <v>127</v>
      </c>
      <c r="Z13" s="868">
        <f t="shared" si="4"/>
        <v>0</v>
      </c>
      <c r="AA13" s="868">
        <f t="shared" si="4"/>
        <v>4</v>
      </c>
      <c r="AB13" s="868">
        <f t="shared" si="4"/>
        <v>378</v>
      </c>
      <c r="AC13" s="868">
        <f t="shared" si="4"/>
        <v>4</v>
      </c>
      <c r="AD13" s="868">
        <f t="shared" si="4"/>
        <v>0</v>
      </c>
      <c r="AE13" s="872">
        <f t="shared" si="4"/>
        <v>0</v>
      </c>
      <c r="AF13" s="865">
        <f t="shared" si="4"/>
        <v>0</v>
      </c>
      <c r="AG13" s="873">
        <f t="shared" si="4"/>
        <v>0</v>
      </c>
      <c r="AH13" s="870">
        <f t="shared" si="4"/>
        <v>0</v>
      </c>
      <c r="AI13" s="865">
        <f t="shared" si="4"/>
        <v>32</v>
      </c>
      <c r="AJ13" s="867">
        <f t="shared" si="4"/>
        <v>0</v>
      </c>
      <c r="AK13" s="870">
        <f>SUBTOTAL(9,AK9:AK12)</f>
        <v>0</v>
      </c>
      <c r="AL13" s="874">
        <f>IF(ISNUMBER(NºAsuntos!G13/NºAsuntos!E13),NºAsuntos!G13/NºAsuntos!E13," - ")</f>
        <v>1.0956521739130434</v>
      </c>
      <c r="AM13" s="874">
        <f>IF(ISNUMBER(((NºAsuntos!I13/NºAsuntos!G13)*11)/factor_trimestre),((NºAsuntos!I13/NºAsuntos!G13)*11)/factor_trimestre," - ")</f>
        <v>6.7380952380952381</v>
      </c>
      <c r="AN13" s="875">
        <f>IF(ISNUMBER('Resol  Asuntos'!D13/NºAsuntos!G13),'Resol  Asuntos'!D13/NºAsuntos!G13," - ")</f>
        <v>0.25396825396825395</v>
      </c>
      <c r="AO13" s="876">
        <f>IF(ISNUMBER((NºAsuntos!C13+NºAsuntos!E13)/NºAsuntos!G13),(NºAsuntos!C13+NºAsuntos!E13)/NºAsuntos!G13," - ")</f>
        <v>3.253968253968254</v>
      </c>
      <c r="AP13" s="877" t="str">
        <f t="shared" si="2"/>
        <v xml:space="preserve"> - </v>
      </c>
      <c r="AQ13" s="877">
        <f>IF(ISNUMBER((H13-W13+K13)/(F13)),(H13-W13+K13)/(F13)," - ")</f>
        <v>-0.33333333333333331</v>
      </c>
      <c r="AR13" s="878">
        <f>IF(ISNUMBER((Datos!P13-Datos!Q13)/(Datos!R13-Datos!P13+Datos!Q13)),(Datos!P13-Datos!Q13)/(Datos!R13-Datos!P13+Datos!Q13)," - ")</f>
        <v>-0.21576763485477179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125</v>
      </c>
      <c r="G16" s="333">
        <f>IF(ISNUMBER(IF(D_I="SI",Datos!I16,Datos!I16+Datos!AC16)),IF(D_I="SI",Datos!I16,Datos!I16+Datos!AC16)," - ")</f>
        <v>118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187</v>
      </c>
      <c r="X16" s="226">
        <f>IF(ISNUMBER(Datos!Q16),Datos!Q16," - ")</f>
        <v>1</v>
      </c>
      <c r="Y16" s="334">
        <f t="shared" ref="Y16:Y17" si="7">SUM(W16:X16)</f>
        <v>188</v>
      </c>
      <c r="Z16" s="335" t="str">
        <f>IF(ISNUMBER(Datos!CC16),Datos!CC16," - ")</f>
        <v xml:space="preserve"> - </v>
      </c>
      <c r="AA16" s="332">
        <f>IF(ISNUMBER(IF(D_I="SI",Datos!L16,Datos!L16+Datos!AF16)),IF(D_I="SI",Datos!L16,Datos!L16+Datos!AF16)," - ")</f>
        <v>116</v>
      </c>
      <c r="AB16" s="334">
        <f>IF(ISNUMBER(Datos!R16),Datos!R16," - ")</f>
        <v>13</v>
      </c>
      <c r="AC16" s="334">
        <f t="shared" si="6"/>
        <v>129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1.050561797752809</v>
      </c>
      <c r="AM16" s="260">
        <f>IF(ISNUMBER(((NºAsuntos!I16/NºAsuntos!G16)*11)/factor_trimestre),((NºAsuntos!I16/NºAsuntos!G16)*11)/factor_trimestre," - ")</f>
        <v>1.8609625668449201</v>
      </c>
      <c r="AN16" s="244">
        <f>IF(ISNUMBER('Resol  Asuntos'!D16/NºAsuntos!G16),'Resol  Asuntos'!D16/NºAsuntos!G16," - ")</f>
        <v>5.8823529411764705E-2</v>
      </c>
      <c r="AO16" s="245">
        <f>IF(ISNUMBER((NºAsuntos!C16+NºAsuntos!E16)/NºAsuntos!G16),(NºAsuntos!C16+NºAsuntos!E16)/NºAsuntos!G16," - ")</f>
        <v>1.5828877005347595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7.0000000000000009</v>
      </c>
      <c r="AN17" s="244">
        <f>IF(ISNUMBER('Resol  Asuntos'!D17/NºAsuntos!G17),'Resol  Asuntos'!D17/NºAsuntos!G17," - ")</f>
        <v>0</v>
      </c>
      <c r="AO17" s="245">
        <f>IF(ISNUMBER((NºAsuntos!C17+NºAsuntos!E17)/NºAsuntos!G17),(NºAsuntos!C17+NºAsuntos!E17)/NºAsuntos!G17," - ")</f>
        <v>5.333333333333333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125</v>
      </c>
      <c r="G18" s="866">
        <f>SUBTOTAL(9,G15:G17)</f>
        <v>133</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190</v>
      </c>
      <c r="X18" s="867">
        <f t="shared" si="11"/>
        <v>1</v>
      </c>
      <c r="Y18" s="868">
        <f t="shared" si="11"/>
        <v>191</v>
      </c>
      <c r="Z18" s="868">
        <f t="shared" si="11"/>
        <v>0</v>
      </c>
      <c r="AA18" s="868">
        <f t="shared" si="11"/>
        <v>123</v>
      </c>
      <c r="AB18" s="868">
        <f t="shared" si="11"/>
        <v>13</v>
      </c>
      <c r="AC18" s="868">
        <f t="shared" si="11"/>
        <v>136</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1.0614525139664805</v>
      </c>
      <c r="AM18" s="874">
        <f>IF(ISNUMBER(((NºAsuntos!I18/NºAsuntos!G18)*11)/factor_trimestre),((NºAsuntos!I18/NºAsuntos!G18)*11)/factor_trimestre," - ")</f>
        <v>1.942105263157895</v>
      </c>
      <c r="AN18" s="875">
        <f>IF(ISNUMBER('Resol  Asuntos'!D18/NºAsuntos!G18),'Resol  Asuntos'!D18/NºAsuntos!G18," - ")</f>
        <v>5.7894736842105263E-2</v>
      </c>
      <c r="AO18" s="876">
        <f>IF(ISNUMBER((NºAsuntos!C18+NºAsuntos!E18)/NºAsuntos!G18),(NºAsuntos!C18+NºAsuntos!E18)/NºAsuntos!G18," - ")</f>
        <v>1.6421052631578947</v>
      </c>
      <c r="AP18" s="877" t="str">
        <f t="shared" si="2"/>
        <v xml:space="preserve"> - </v>
      </c>
      <c r="AQ18" s="877">
        <f>IF(ISNUMBER((H18-W18+K18)/(F18)),(H18-W18+K18)/(F18)," - ")</f>
        <v>-1.52</v>
      </c>
      <c r="AR18" s="878">
        <f>IF(ISNUMBER((Datos!P18-Datos!Q18)/(Datos!R18-Datos!P18+Datos!Q18)),(Datos!P18-Datos!Q18)/(Datos!R18-Datos!P18+Datos!Q18)," - ")</f>
        <v>0.44444444444444442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128</v>
      </c>
      <c r="G19" s="821">
        <f t="shared" si="13"/>
        <v>137</v>
      </c>
      <c r="H19" s="820">
        <f t="shared" si="13"/>
        <v>0</v>
      </c>
      <c r="I19" s="822">
        <f t="shared" si="13"/>
        <v>0</v>
      </c>
      <c r="J19" s="822">
        <f t="shared" si="13"/>
        <v>0</v>
      </c>
      <c r="K19" s="881">
        <f t="shared" si="13"/>
        <v>0</v>
      </c>
      <c r="L19" s="822">
        <f t="shared" si="13"/>
        <v>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v>
      </c>
      <c r="X19" s="821">
        <f t="shared" si="14"/>
        <v>127</v>
      </c>
      <c r="Y19" s="828">
        <f t="shared" si="14"/>
        <v>318</v>
      </c>
      <c r="Z19" s="828">
        <f t="shared" si="14"/>
        <v>0</v>
      </c>
      <c r="AA19" s="828">
        <f t="shared" si="14"/>
        <v>127</v>
      </c>
      <c r="AB19" s="828">
        <f t="shared" si="14"/>
        <v>391</v>
      </c>
      <c r="AC19" s="828">
        <f t="shared" si="14"/>
        <v>140</v>
      </c>
      <c r="AD19" s="828">
        <f t="shared" si="14"/>
        <v>0</v>
      </c>
      <c r="AE19" s="830">
        <f t="shared" si="14"/>
        <v>0</v>
      </c>
      <c r="AF19" s="831">
        <f t="shared" si="14"/>
        <v>0</v>
      </c>
      <c r="AG19" s="832">
        <f t="shared" si="14"/>
        <v>0</v>
      </c>
      <c r="AH19" s="830">
        <f t="shared" si="14"/>
        <v>0</v>
      </c>
      <c r="AI19" s="820">
        <f t="shared" si="14"/>
        <v>43</v>
      </c>
      <c r="AJ19" s="820">
        <f t="shared" si="14"/>
        <v>0</v>
      </c>
      <c r="AK19" s="830">
        <f t="shared" si="14"/>
        <v>0</v>
      </c>
      <c r="AL19" s="884">
        <f>IF(ISNUMBER(NºAsuntos!G19/NºAsuntos!E19),NºAsuntos!G19/NºAsuntos!E19," - ")</f>
        <v>1.0748299319727892</v>
      </c>
      <c r="AM19" s="885">
        <f>IF(ISNUMBER(((NºAsuntos!I19/NºAsuntos!G19)*11)/factor_trimestre),((NºAsuntos!I19/NºAsuntos!G19)*11)/factor_trimestre," - ")</f>
        <v>3.8544303797468356</v>
      </c>
      <c r="AN19" s="885">
        <f>IF(ISNUMBER('Resol  Asuntos'!D19/NºAsuntos!G19),'Resol  Asuntos'!D19/NºAsuntos!G19," - ")</f>
        <v>0.13607594936708861</v>
      </c>
      <c r="AO19" s="886">
        <f>IF(ISNUMBER((NºAsuntos!C19+NºAsuntos!E19)/NºAsuntos!G19),(NºAsuntos!C19+NºAsuntos!E19)/NºAsuntos!G19," - ")</f>
        <v>2.2848101265822787</v>
      </c>
      <c r="AP19" s="887" t="str">
        <f t="shared" si="2"/>
        <v xml:space="preserve"> - </v>
      </c>
      <c r="AQ19" s="888">
        <f>IF(OR(ISNUMBER(FIND("01",Criterios!A8,1)),ISNUMBER(FIND("02",Criterios!A8,1)),ISNUMBER(FIND("03",Criterios!A8,1)),ISNUMBER(FIND("04",Criterios!A8,1))),(I19-W19+K19)/(F19-K19),(H19-W19+K19)/(F19-K19))</f>
        <v>-1.4921875</v>
      </c>
      <c r="AR19" s="889">
        <f>IF(ISNUMBER((Datos!P19-Datos!Q19)/(Datos!R19-Datos!P19+Datos!Q19)),(Datos!P19-Datos!Q19)/(Datos!R19-Datos!P19+Datos!Q19)," - ")</f>
        <v>-0.20366598778004075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70.436732841134344</v>
      </c>
      <c r="G21" s="253">
        <f>IF(ISNUMBER(STDEV(G8:G18)),STDEV(G8:G18),"-")</f>
        <v>64.91301872506007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102.3415849007626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14.109098719148104</v>
      </c>
      <c r="AJ21" s="252">
        <f t="shared" si="18"/>
        <v>0</v>
      </c>
      <c r="AK21" s="254">
        <f t="shared" si="18"/>
        <v>0</v>
      </c>
      <c r="AL21" s="249">
        <f t="shared" si="18"/>
        <v>0.86352890280616523</v>
      </c>
      <c r="AM21" s="250">
        <f t="shared" si="18"/>
        <v>3.7846523423436711</v>
      </c>
      <c r="AN21" s="250">
        <f t="shared" si="18"/>
        <v>0.37312863029577936</v>
      </c>
      <c r="AO21" s="251">
        <f t="shared" si="18"/>
        <v>1.8368577599751756</v>
      </c>
      <c r="AP21" s="291" t="str">
        <f t="shared" si="18"/>
        <v>-</v>
      </c>
      <c r="AQ21" s="292">
        <f t="shared" si="18"/>
        <v>0.83910004700803642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PjrVHj0lnH6NqiAIQX32u6COyZv7SnElKNtBPEeNGt7pSh8aj/vuGvHuT/c9IyasGj/tanJi2AsvvRQrnCn+Sw==" saltValue="s6/gkYVn//6P/eHw328e1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-0.66666666666666663</v>
      </c>
      <c r="G10" s="349">
        <f>IF(ISNUMBER((Datos!L10-Datos!V10)/Datos!V10),(Datos!L10-Datos!V10)/Datos!V10," - ")</f>
        <v>1</v>
      </c>
      <c r="H10" s="230" t="str">
        <f>IF(ISNUMBER((Datos!M10-Datos!W10)/Datos!W10),(Datos!M10-Datos!W10)/Datos!W10," - ")</f>
        <v xml:space="preserve"> - </v>
      </c>
      <c r="I10" s="350">
        <f>IF(ISNUMBER((Tasas!C10-Datos!BE10)/Datos!BE10),(Tasas!C10-Datos!BE10)/Datos!BE10," - ")</f>
        <v>5.0000000000000009</v>
      </c>
      <c r="J10" s="349" t="str">
        <f>IF(ISNUMBER((Tasas!D10-Datos!BF10)/Datos!BF10),(Tasas!D10-Datos!BF10)/Datos!BF10," - ")</f>
        <v xml:space="preserve"> - </v>
      </c>
      <c r="K10" s="351">
        <f>IF(ISNUMBER((Tasas!E10-Datos!BG10)/Datos!BG10),(Tasas!E10-Datos!BG10)/Datos!BG10," - ")</f>
        <v>2.5999999999999996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1.2142857142857142</v>
      </c>
      <c r="I12" s="350">
        <f>IF(ISNUMBER((Tasas!C12-Datos!BE12)/Datos!BE12),(Tasas!C12-Datos!BE12)/Datos!BE12," - ")</f>
        <v>-0.37474918566775239</v>
      </c>
      <c r="J12" s="349">
        <f>IF(ISNUMBER((Tasas!D12-Datos!BF12)/Datos!BF12),(Tasas!D12-Datos!BF12)/Datos!BF12," - ")</f>
        <v>-0.504</v>
      </c>
      <c r="K12" s="351">
        <f>IF(ISNUMBER((Tasas!E12-Datos!BG12)/Datos!BG12),(Tasas!E12-Datos!BG12)/Datos!BG12," - ")</f>
        <v>-0.29274300254452923</v>
      </c>
      <c r="M12" t="e">
        <f>IF(Monitorios="SI",Datos!CE12,0)</f>
        <v>#REF!</v>
      </c>
      <c r="N12" t="e">
        <f>IF(Monitorios="SI",Datos!CF12,0)</f>
        <v>#REF!</v>
      </c>
      <c r="O12" t="e">
        <f>IF(Monitorios="SI",Datos!CG12,0)</f>
        <v>#REF!</v>
      </c>
      <c r="P12" t="e">
        <f>IF(Monitorios="SI",Datos!CH12,0)</f>
        <v>#REF!</v>
      </c>
      <c r="Q12">
        <f>IF(J_V="SI",0,Datos!AG12)</f>
        <v>7</v>
      </c>
      <c r="R12">
        <f>IF(J_V="SI",0,Datos!AH12)</f>
        <v>5</v>
      </c>
      <c r="S12">
        <f>IF(J_V="SI",0,Datos!AI12)</f>
        <v>1</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1.2857142857142858</v>
      </c>
      <c r="I13" s="357">
        <f>IF(ISNUMBER((Tasas!C13-Datos!BE13)/Datos!BE13),(Tasas!C13-Datos!BE13)/Datos!BE13," - ")</f>
        <v>-0.35308470745363946</v>
      </c>
      <c r="J13" s="355">
        <f>IF(ISNUMBER((Tasas!D13-Datos!BF13)/Datos!BF13),(Tasas!D13-Datos!BF13)/Datos!BF13," - ")</f>
        <v>-0.47434477667035813</v>
      </c>
      <c r="K13" s="358">
        <f>IF(ISNUMBER((Tasas!E13-Datos!BG13)/Datos!BG13),(Tasas!E13-Datos!BG13)/Datos!BG13," - ")</f>
        <v>-0.27235383265534019</v>
      </c>
      <c r="M13" t="e">
        <f>IF(Monitorios="SI",Datos!CE13,0)</f>
        <v>#REF!</v>
      </c>
      <c r="N13" t="e">
        <f>IF(Monitorios="SI",Datos!CF13,0)</f>
        <v>#REF!</v>
      </c>
      <c r="O13" t="e">
        <f>IF(Monitorios="SI",Datos!CG13,0)</f>
        <v>#REF!</v>
      </c>
      <c r="P13" t="e">
        <f>IF(Monitorios="SI",Datos!CH13,0)</f>
        <v>#REF!</v>
      </c>
      <c r="Q13">
        <f>IF(J_V="SI",0,Datos!AG13)</f>
        <v>7</v>
      </c>
      <c r="R13">
        <f>IF(J_V="SI",0,Datos!AH13)</f>
        <v>5</v>
      </c>
      <c r="S13">
        <f>IF(J_V="SI",0,Datos!AI13)</f>
        <v>1</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-0.40703517587939697</v>
      </c>
      <c r="E16" s="348">
        <f>IF(ISNUMBER(
   IF(D_I="SI",(Datos!J16-Datos!T16)/Datos!T16,(Datos!J16+Datos!AD16-(Datos!T16+Datos!AL16))/(Datos!T16+Datos!AL16))
     ),IF(D_I="SI",(Datos!J16-Datos!T16)/Datos!T16,(Datos!J16+Datos!AD16-(Datos!T16+Datos!AL16))/(Datos!T16+Datos!AL16))," - ")</f>
        <v>0.18666666666666668</v>
      </c>
      <c r="F16" s="348">
        <f>IF(ISNUMBER(
   IF(D_I="SI",(Datos!K16-Datos!U16)/Datos!U16,(Datos!K16+Datos!AE16-(Datos!U16+Datos!AM16))/(Datos!U16+Datos!AM16))
     ),IF(D_I="SI",(Datos!K16-Datos!U16)/Datos!U16,(Datos!K16+Datos!AE16-(Datos!U16+Datos!AM16))/(Datos!U16+Datos!AM16))," - ")</f>
        <v>-0.17982456140350878</v>
      </c>
      <c r="G16" s="349">
        <f>IF(ISNUMBER(
   IF(D_I="SI",(Datos!L16-Datos!V16)/Datos!V16,(Datos!L16+Datos!AF16-(Datos!V16+Datos!AN16))/(Datos!V16+Datos!AN16))
     ),IF(D_I="SI",(Datos!L16-Datos!V16)/Datos!V16,(Datos!L16+Datos!AF16-(Datos!V16+Datos!AN16))/(Datos!V16+Datos!AN16))," - ")</f>
        <v>-0.10077519379844961</v>
      </c>
      <c r="H16" s="230">
        <f>IF(ISNUMBER((Datos!M16-Datos!W16)/Datos!W16),(Datos!M16-Datos!W16)/Datos!W16," - ")</f>
        <v>-0.52173913043478259</v>
      </c>
      <c r="I16" s="350">
        <f>IF(ISNUMBER((Tasas!C16-Datos!BE16)/Datos!BE16),(Tasas!C16-Datos!BE16)/Datos!BE16," - ")</f>
        <v>9.6381047133441214E-2</v>
      </c>
      <c r="J16" s="349">
        <f>IF(ISNUMBER((Tasas!D16-Datos!BF16)/Datos!BF16),(Tasas!D16-Datos!BF16)/Datos!BF16," - ")</f>
        <v>-0.41687979539641939</v>
      </c>
      <c r="K16" s="351">
        <f>IF(ISNUMBER((Tasas!E16-Datos!BG16)/Datos!BG16),(Tasas!E16-Datos!BG16)/Datos!BG16," - ")</f>
        <v>3.4092824418123675E-2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v>
      </c>
      <c r="H17" s="230" t="str">
        <f>IF(ISNUMBER((Datos!M17-Datos!W17)/Datos!W17),(Datos!M17-Datos!W17)/Datos!W17," - ")</f>
        <v xml:space="preserve"> - </v>
      </c>
      <c r="I17" s="350">
        <f>IF(ISNUMBER((Tasas!C17-Datos!BE17)/Datos!BE17),(Tasas!C17-Datos!BE17)/Datos!BE17," - ")</f>
        <v>-0.3</v>
      </c>
      <c r="J17" s="349" t="str">
        <f>IF(ISNUMBER((Tasas!D17-Datos!BF17)/Datos!BF17),(Tasas!D17-Datos!BF17)/Datos!BF17," - ")</f>
        <v xml:space="preserve"> - </v>
      </c>
      <c r="K17" s="351">
        <f>IF(ISNUMBER((Tasas!E17-Datos!BG17)/Datos!BG17),(Tasas!E17-Datos!BG17)/Datos!BG17," - ")</f>
        <v>0.23076923076923078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-0.36966824644549762</v>
      </c>
      <c r="E18" s="354">
        <f>IF(ISNUMBER(
   IF(D_I="SI",(Datos!J18-Datos!T18)/Datos!T18,(Datos!J18+Datos!AD18-(Datos!T18+Datos!AL18))/(Datos!T18+Datos!AL18))
     ),IF(D_I="SI",(Datos!J18-Datos!T18)/Datos!T18,(Datos!J18+Datos!AD18-(Datos!T18+Datos!AL18))/(Datos!T18+Datos!AL18))," - ")</f>
        <v>0.18543046357615894</v>
      </c>
      <c r="F18" s="354">
        <f>IF(ISNUMBER(
   IF(D_I="SI",(Datos!K18-Datos!U18)/Datos!U18,(Datos!K18+Datos!AE18-(Datos!U18+Datos!AM18))/(Datos!U18+Datos!AM18))
     ),IF(D_I="SI",(Datos!K18-Datos!U18)/Datos!U18,(Datos!K18+Datos!AE18-(Datos!U18+Datos!AM18))/(Datos!U18+Datos!AM18))," - ")</f>
        <v>-0.1774891774891775</v>
      </c>
      <c r="G18" s="355">
        <f>IF(ISNUMBER(
   IF(D_I="SI",(Datos!L18-Datos!V18)/Datos!V18,(Datos!L18+Datos!AF18-(Datos!V18+Datos!AN18))/(Datos!V18+Datos!AN18))
     ),IF(D_I="SI",(Datos!L18-Datos!V18)/Datos!V18,(Datos!L18+Datos!AF18-(Datos!V18+Datos!AN18))/(Datos!V18+Datos!AN18))," - ")</f>
        <v>-0.11510791366906475</v>
      </c>
      <c r="H18" s="356">
        <f>IF(ISNUMBER((Datos!M18-Datos!W18)/Datos!W18),(Datos!M18-Datos!W18)/Datos!W18," - ")</f>
        <v>-0.52173913043478259</v>
      </c>
      <c r="I18" s="357">
        <f>IF(ISNUMBER((Tasas!C18-Datos!BE18)/Datos!BE18),(Tasas!C18-Datos!BE18)/Datos!BE18," - ")</f>
        <v>7.5842483907610683E-2</v>
      </c>
      <c r="J18" s="355">
        <f>IF(ISNUMBER((Tasas!D18-Datos!BF18)/Datos!BF18),(Tasas!D18-Datos!BF18)/Datos!BF18," - ")</f>
        <v>-0.41853546910755152</v>
      </c>
      <c r="K18" s="358">
        <f>IF(ISNUMBER((Tasas!E18-Datos!BG18)/Datos!BG18),(Tasas!E18-Datos!BG18)/Datos!BG18," - ")</f>
        <v>4.7862750799651056E-2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-0.16569200779727095</v>
      </c>
      <c r="E19" s="363">
        <f>IF(ISNUMBER(
   IF(J_V="SI",(Datos!J19-Datos!T19)/Datos!T19,(Datos!J19+Datos!Z19-(Datos!T19+Datos!AH19))/(Datos!T19+Datos!AH19))
     ),IF(J_V="SI",(Datos!J19-Datos!T19)/Datos!T19,(Datos!J19+Datos!Z19-(Datos!T19+Datos!AH19))/(Datos!T19+Datos!AH19))," - ")</f>
        <v>0.19028340080971659</v>
      </c>
      <c r="F19" s="363">
        <f>IF(ISNUMBER(
   IF(J_V="SI",(Datos!K19-Datos!U19)/Datos!U19,(Datos!K19+Datos!AA19-(Datos!U19+Datos!AI19))/(Datos!U19+Datos!AI19))
     ),IF(J_V="SI",(Datos!K19-Datos!U19)/Datos!U19,(Datos!K19+Datos!AA19-(Datos!U19+Datos!AI19))/(Datos!U19+Datos!AI19))," - ")</f>
        <v>-1.2500000000000001E-2</v>
      </c>
      <c r="G19" s="364">
        <f>IF(ISNUMBER(
   IF(J_V="SI",(Datos!L19-Datos!V19)/Datos!V19,(Datos!L19+Datos!AB19-(Datos!V19+Datos!AJ19))/(Datos!V19+Datos!AJ19))
     ),IF(J_V="SI",(Datos!L19-Datos!V19)/Datos!V19,(Datos!L19+Datos!AB19-(Datos!V19+Datos!AJ19))/(Datos!V19+Datos!AJ19))," - ")</f>
        <v>-9.375E-2</v>
      </c>
      <c r="H19" s="365">
        <f>IF(ISNUMBER((Datos!M19-Datos!W19)/Datos!W19),(Datos!M19-Datos!W19)/Datos!W19," - ")</f>
        <v>0.16216216216216217</v>
      </c>
      <c r="I19" s="362">
        <f>IF(ISNUMBER((Tasas!C19-Datos!BE19)/Datos!BE19),(Tasas!C19-Datos!BE19)/Datos!BE19," - ")</f>
        <v>-8.2278481012658194E-2</v>
      </c>
      <c r="J19" s="363">
        <f>IF(ISNUMBER((Tasas!D19-Datos!BF19)/Datos!BF19),(Tasas!D19-Datos!BF19)/Datos!BF19," - ")</f>
        <v>-0.34023782125047941</v>
      </c>
      <c r="K19" s="364">
        <f>IF(ISNUMBER((Tasas!E19-Datos!BG19)/Datos!BG19),(Tasas!E19-Datos!BG19)/Datos!BG19," - ")</f>
        <v>-3.7974683544303722E-2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0.39437518520448722</v>
      </c>
      <c r="E21" s="278">
        <f t="shared" si="1"/>
        <v>0.10741637473367685</v>
      </c>
      <c r="F21" s="278">
        <f t="shared" si="1"/>
        <v>0.28644357077315086</v>
      </c>
      <c r="G21" s="279">
        <f t="shared" si="1"/>
        <v>0.59296238780817923</v>
      </c>
      <c r="H21" s="285">
        <f t="shared" si="1"/>
        <v>1.0233296254094544</v>
      </c>
      <c r="I21" s="277">
        <f t="shared" si="1"/>
        <v>2.1216732189285001</v>
      </c>
      <c r="J21" s="278">
        <f t="shared" si="1"/>
        <v>4.30050311983559E-2</v>
      </c>
      <c r="K21" s="279">
        <f t="shared" si="1"/>
        <v>1.1007291367353931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uBmDu4GwpE3BxT3plFuQ0UzfYogCct0gX+9nZR6K+uybt6co9W+t5TMfaOI5G+AE4r9ukK8lnZfa7MJrJr7Tg==" saltValue="4aQXsQopmuCLH+Z/qrVV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